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d.docs.live.net/4607a6c4c515c24a/PIB Conso/2017/2017 Q1/Q1 2017 Worksheet/"/>
    </mc:Choice>
  </mc:AlternateContent>
  <bookViews>
    <workbookView xWindow="0" yWindow="0" windowWidth="17970" windowHeight="7530" tabRatio="882"/>
  </bookViews>
  <sheets>
    <sheet name="IS" sheetId="14" r:id="rId1"/>
    <sheet name="C-IS" sheetId="11" state="hidden" r:id="rId2"/>
    <sheet name="BOD IS" sheetId="22" state="hidden" r:id="rId3"/>
    <sheet name="BS" sheetId="9" r:id="rId4"/>
    <sheet name="C-BS" sheetId="12" state="hidden" r:id="rId5"/>
    <sheet name="Consol 2017 Adj" sheetId="33" state="hidden" r:id="rId6"/>
    <sheet name="Conso C adjs" sheetId="17" state="hidden" r:id="rId7"/>
    <sheet name="Conso P adjs" sheetId="16" state="hidden" r:id="rId8"/>
    <sheet name="NTA per share" sheetId="26" state="hidden" r:id="rId9"/>
    <sheet name="CCS" sheetId="10" r:id="rId10"/>
    <sheet name="CFS" sheetId="13" r:id="rId11"/>
    <sheet name="CF ws" sheetId="18" state="hidden" r:id="rId12"/>
    <sheet name="CF adjs" sheetId="19" state="hidden" r:id="rId13"/>
    <sheet name="Impairments 2016" sheetId="32" state="hidden" r:id="rId14"/>
    <sheet name="Sheet1" sheetId="30" state="hidden" r:id="rId15"/>
    <sheet name="Group IS 2014 with audit adjust" sheetId="29" state="hidden" r:id="rId16"/>
    <sheet name="Group IS 2013 with audit adjust" sheetId="27" state="hidden" r:id="rId17"/>
    <sheet name="2014 Hardie CZ CI adj" sheetId="28" state="hidden" r:id="rId18"/>
    <sheet name="Revised Sep &amp; Dec 2013" sheetId="25" state="hidden" r:id="rId19"/>
    <sheet name="BoD BS" sheetId="21" state="hidden" r:id="rId20"/>
    <sheet name="FN SS revalue" sheetId="24" state="hidden" r:id="rId21"/>
    <sheet name="Disposal2" sheetId="23" state="hidden" r:id="rId22"/>
    <sheet name="Disposal5" sheetId="20" state="hidden" r:id="rId23"/>
    <sheet name="Compatibility Report" sheetId="31" state="hidden" r:id="rId24"/>
  </sheets>
  <definedNames>
    <definedName name="_xlnm.Print_Area" localSheetId="17">'2014 Hardie CZ CI adj'!$A$1:$U$108</definedName>
    <definedName name="_xlnm.Print_Area" localSheetId="2">'BOD IS'!$A$1:$U$35</definedName>
    <definedName name="_xlnm.Print_Area" localSheetId="4">'C-BS'!$A$1:$AB$299</definedName>
    <definedName name="_xlnm.Print_Area" localSheetId="11">'CF ws'!$J$1:$N$105</definedName>
    <definedName name="_xlnm.Print_Area" localSheetId="1">'C-IS'!$A$1:$AO$50</definedName>
  </definedNames>
  <calcPr calcId="152511"/>
</workbook>
</file>

<file path=xl/calcChain.xml><?xml version="1.0" encoding="utf-8"?>
<calcChain xmlns="http://schemas.openxmlformats.org/spreadsheetml/2006/main">
  <c r="D72" i="13" l="1"/>
  <c r="D70" i="13"/>
  <c r="D58" i="13"/>
  <c r="D53" i="13"/>
  <c r="D50" i="13"/>
  <c r="D49" i="13"/>
  <c r="D44" i="13"/>
  <c r="D43" i="13"/>
  <c r="D40" i="13"/>
  <c r="D36" i="13"/>
  <c r="D35" i="13"/>
  <c r="D28" i="13"/>
  <c r="D27" i="13"/>
  <c r="D17" i="13"/>
  <c r="D14" i="13"/>
  <c r="D12" i="13"/>
  <c r="V21" i="10" l="1"/>
  <c r="T21" i="10"/>
  <c r="L50" i="18" l="1"/>
  <c r="L48" i="18"/>
  <c r="B36" i="13" l="1"/>
  <c r="B49" i="13"/>
  <c r="B72" i="13"/>
  <c r="B70" i="13"/>
  <c r="B40" i="13"/>
  <c r="B58" i="13"/>
  <c r="B50" i="13"/>
  <c r="B43" i="13"/>
  <c r="B35" i="13"/>
  <c r="B27" i="13"/>
  <c r="B31" i="13"/>
  <c r="B14" i="13"/>
  <c r="B12" i="13"/>
  <c r="L98" i="18" l="1"/>
  <c r="L88" i="18"/>
  <c r="L81" i="18"/>
  <c r="L80" i="18"/>
  <c r="L79" i="18"/>
  <c r="L78" i="18"/>
  <c r="L63" i="18"/>
  <c r="L60" i="18"/>
  <c r="L59" i="18"/>
  <c r="L43" i="18"/>
  <c r="L39" i="18"/>
  <c r="L29" i="18"/>
  <c r="L24" i="18"/>
  <c r="L18" i="18"/>
  <c r="L9" i="18"/>
  <c r="K79" i="18"/>
  <c r="H204" i="18"/>
  <c r="G181" i="18"/>
  <c r="H162" i="18"/>
  <c r="H161" i="18"/>
  <c r="H160" i="18"/>
  <c r="H101" i="18"/>
  <c r="G101" i="18"/>
  <c r="G90" i="18"/>
  <c r="G18" i="18"/>
  <c r="D71" i="13" l="1"/>
  <c r="D74" i="13" s="1"/>
  <c r="K404" i="19"/>
  <c r="J377" i="19"/>
  <c r="J372" i="19"/>
  <c r="K363" i="19"/>
  <c r="J355" i="19"/>
  <c r="V27" i="10" l="1"/>
  <c r="T27" i="10"/>
  <c r="F22" i="10"/>
  <c r="D22" i="10" s="1"/>
  <c r="T26" i="10"/>
  <c r="T23" i="10"/>
  <c r="P23" i="10"/>
  <c r="N29" i="10"/>
  <c r="V23" i="10"/>
  <c r="R23" i="10"/>
  <c r="L23" i="10"/>
  <c r="J23" i="10"/>
  <c r="H23" i="10"/>
  <c r="F20" i="10"/>
  <c r="D20" i="10" s="1"/>
  <c r="D18" i="19"/>
  <c r="C177" i="18"/>
  <c r="C180" i="18"/>
  <c r="N23" i="10" l="1"/>
  <c r="F21" i="10"/>
  <c r="B74" i="18"/>
  <c r="B66" i="18"/>
  <c r="D21" i="10" l="1"/>
  <c r="D23" i="10" s="1"/>
  <c r="F23" i="10"/>
  <c r="I12" i="26"/>
  <c r="R257" i="12"/>
  <c r="AE43" i="11"/>
  <c r="D66" i="9"/>
  <c r="D39" i="9"/>
  <c r="S15" i="12"/>
  <c r="S32" i="11"/>
  <c r="R19" i="11"/>
  <c r="S229" i="12"/>
  <c r="S230" i="12"/>
  <c r="S47" i="11"/>
  <c r="R235" i="12"/>
  <c r="R8" i="11"/>
  <c r="S18" i="11"/>
  <c r="R12" i="11"/>
  <c r="S115" i="12"/>
  <c r="R94" i="12"/>
  <c r="R234" i="12"/>
  <c r="S284" i="12"/>
  <c r="R283" i="12"/>
  <c r="S98" i="12"/>
  <c r="R97" i="12"/>
  <c r="S121" i="12"/>
  <c r="E44" i="17"/>
  <c r="S95" i="12" s="1"/>
  <c r="E31" i="17"/>
  <c r="E25" i="17"/>
  <c r="D22" i="17" s="1"/>
  <c r="R11" i="11" s="1"/>
  <c r="E24" i="17"/>
  <c r="S16" i="11" s="1"/>
  <c r="B273" i="12"/>
  <c r="G273" i="12"/>
  <c r="G271" i="12"/>
  <c r="G249" i="12"/>
  <c r="B122" i="12"/>
  <c r="B121" i="12"/>
  <c r="C121" i="12"/>
  <c r="C97" i="12"/>
  <c r="C94" i="12"/>
  <c r="F19" i="12"/>
  <c r="G16" i="11"/>
  <c r="C8" i="11"/>
  <c r="S17" i="11" l="1"/>
  <c r="J50" i="14"/>
  <c r="J45" i="14"/>
  <c r="J46" i="14" s="1"/>
  <c r="J44" i="14"/>
  <c r="J39" i="14"/>
  <c r="J38" i="14"/>
  <c r="J26" i="14"/>
  <c r="J23" i="14"/>
  <c r="J22" i="14"/>
  <c r="J21" i="14"/>
  <c r="J18" i="14"/>
  <c r="J17" i="14"/>
  <c r="F50" i="14"/>
  <c r="F45" i="14"/>
  <c r="F44" i="14"/>
  <c r="F39" i="14"/>
  <c r="F38" i="14"/>
  <c r="F26" i="14"/>
  <c r="F23" i="14"/>
  <c r="F22" i="14"/>
  <c r="F21" i="14"/>
  <c r="F18" i="14"/>
  <c r="F17" i="14"/>
  <c r="P87" i="12"/>
  <c r="J40" i="14" l="1"/>
  <c r="J19" i="14"/>
  <c r="J24" i="14" s="1"/>
  <c r="J27" i="14" s="1"/>
  <c r="J30" i="14" s="1"/>
  <c r="J35" i="14" s="1"/>
  <c r="G11" i="26"/>
  <c r="G14" i="26" s="1"/>
  <c r="G12" i="26"/>
  <c r="I14" i="26"/>
  <c r="F69" i="9"/>
  <c r="F66" i="9"/>
  <c r="F64" i="9"/>
  <c r="F51" i="9"/>
  <c r="F50" i="9"/>
  <c r="F49" i="9"/>
  <c r="F40" i="9"/>
  <c r="F39" i="9"/>
  <c r="F38" i="9"/>
  <c r="F23" i="9"/>
  <c r="F27" i="9"/>
  <c r="F26" i="9"/>
  <c r="F25" i="9"/>
  <c r="F24" i="9"/>
  <c r="F22" i="9"/>
  <c r="F18" i="9"/>
  <c r="F17" i="9"/>
  <c r="F16" i="9"/>
  <c r="F15" i="9"/>
  <c r="F14" i="9"/>
  <c r="H105" i="12" l="1"/>
  <c r="H273" i="12"/>
  <c r="G281" i="12"/>
  <c r="G250" i="12"/>
  <c r="G175" i="12"/>
  <c r="R122" i="12"/>
  <c r="R265" i="12"/>
  <c r="R264" i="12"/>
  <c r="S263" i="12"/>
  <c r="R173" i="12"/>
  <c r="S172" i="12"/>
  <c r="P172" i="12"/>
  <c r="S233" i="12"/>
  <c r="S232" i="12"/>
  <c r="R159" i="12"/>
  <c r="R158" i="12"/>
  <c r="R160" i="12"/>
  <c r="S161" i="12"/>
  <c r="S162" i="12"/>
  <c r="S163" i="12"/>
  <c r="R194" i="12"/>
  <c r="S195" i="12"/>
  <c r="R193" i="12"/>
  <c r="R192" i="12"/>
  <c r="R191" i="12"/>
  <c r="R190" i="12"/>
  <c r="S189" i="12"/>
  <c r="R188" i="12"/>
  <c r="R187" i="12"/>
  <c r="S186" i="12"/>
  <c r="S185" i="12"/>
  <c r="R184" i="12"/>
  <c r="S179" i="12"/>
  <c r="R180" i="12"/>
  <c r="S181" i="12"/>
  <c r="R182" i="12"/>
  <c r="S183" i="12"/>
  <c r="S178" i="12"/>
  <c r="S177" i="12"/>
  <c r="S176" i="12"/>
  <c r="R175" i="12"/>
  <c r="R142" i="12"/>
  <c r="R141" i="12"/>
  <c r="R140" i="12"/>
  <c r="R139" i="12"/>
  <c r="S250" i="12"/>
  <c r="R251" i="12"/>
  <c r="S252" i="12"/>
  <c r="S253" i="12"/>
  <c r="R254" i="12"/>
  <c r="S255" i="12"/>
  <c r="R256" i="12"/>
  <c r="S105" i="12"/>
  <c r="R113" i="12"/>
  <c r="S114" i="12"/>
  <c r="R59" i="12"/>
  <c r="R58" i="12"/>
  <c r="S57" i="12"/>
  <c r="S56" i="12"/>
  <c r="S55" i="12"/>
  <c r="S54" i="12"/>
  <c r="R30" i="12"/>
  <c r="S31" i="12"/>
  <c r="S88" i="12"/>
  <c r="R87" i="12"/>
  <c r="C89" i="12"/>
  <c r="P89" i="12" s="1"/>
  <c r="T89" i="12" s="1"/>
  <c r="C63" i="18" s="1"/>
  <c r="R20" i="12"/>
  <c r="R19" i="12"/>
  <c r="R83" i="12"/>
  <c r="S14" i="12"/>
  <c r="R13" i="12"/>
  <c r="S12" i="12"/>
  <c r="R11" i="12"/>
  <c r="R10" i="12"/>
  <c r="S9" i="12"/>
  <c r="R8" i="12"/>
  <c r="D194" i="33"/>
  <c r="T172" i="12" l="1"/>
  <c r="C149" i="18" s="1"/>
  <c r="T87" i="12"/>
  <c r="C309" i="12" l="1"/>
  <c r="C305" i="12"/>
  <c r="C273" i="12"/>
  <c r="C175" i="12"/>
  <c r="C283" i="12"/>
  <c r="C272" i="12"/>
  <c r="C249" i="12"/>
  <c r="C268" i="12" s="1"/>
  <c r="C108" i="12"/>
  <c r="C125" i="12" s="1"/>
  <c r="C133" i="12" s="1"/>
  <c r="C96" i="12"/>
  <c r="C113" i="12"/>
  <c r="C83" i="12"/>
  <c r="C91" i="12" s="1"/>
  <c r="C8" i="12"/>
  <c r="C29" i="11"/>
  <c r="C16" i="11"/>
  <c r="C15" i="11"/>
  <c r="P15" i="11" s="1"/>
  <c r="V15" i="11" s="1"/>
  <c r="C7" i="11"/>
  <c r="B305" i="12"/>
  <c r="B271" i="12"/>
  <c r="P271" i="12" s="1"/>
  <c r="T271" i="12" s="1"/>
  <c r="C176" i="18" s="1"/>
  <c r="B249" i="12"/>
  <c r="B283" i="12"/>
  <c r="B281" i="12"/>
  <c r="B175" i="12"/>
  <c r="B108" i="12"/>
  <c r="B97" i="12"/>
  <c r="B8" i="12"/>
  <c r="B29" i="11"/>
  <c r="AA29" i="11" s="1"/>
  <c r="B16" i="11"/>
  <c r="B11" i="11"/>
  <c r="M108" i="12"/>
  <c r="M273" i="12"/>
  <c r="G108" i="12"/>
  <c r="M305" i="12"/>
  <c r="M306" i="12" s="1"/>
  <c r="M175" i="12"/>
  <c r="M272" i="12"/>
  <c r="M97" i="12"/>
  <c r="M96" i="12"/>
  <c r="M94" i="12"/>
  <c r="M8" i="12"/>
  <c r="M91" i="12" s="1"/>
  <c r="M11" i="11"/>
  <c r="M16" i="11"/>
  <c r="M15" i="11"/>
  <c r="M8" i="11"/>
  <c r="M7" i="11"/>
  <c r="K108" i="12"/>
  <c r="K125" i="12" s="1"/>
  <c r="K133" i="12" s="1"/>
  <c r="K16" i="11"/>
  <c r="O175" i="12"/>
  <c r="J175" i="12"/>
  <c r="J108" i="12"/>
  <c r="I175" i="12"/>
  <c r="I108" i="12"/>
  <c r="J16" i="11"/>
  <c r="D304" i="12"/>
  <c r="H312" i="12"/>
  <c r="H313" i="12" s="1"/>
  <c r="H309" i="12"/>
  <c r="P309" i="12" s="1"/>
  <c r="H305" i="12"/>
  <c r="H306" i="12" s="1"/>
  <c r="H307" i="12" s="1"/>
  <c r="H272" i="12"/>
  <c r="H287" i="12" s="1"/>
  <c r="H175" i="12"/>
  <c r="H108" i="12"/>
  <c r="H97" i="12"/>
  <c r="H96" i="12"/>
  <c r="H94" i="12"/>
  <c r="H8" i="12"/>
  <c r="H91" i="12" s="1"/>
  <c r="H16" i="11"/>
  <c r="Y16" i="11" s="1"/>
  <c r="H29" i="11"/>
  <c r="H15" i="11"/>
  <c r="H8" i="11"/>
  <c r="G305" i="12"/>
  <c r="G283" i="12"/>
  <c r="G298" i="12" s="1"/>
  <c r="G97" i="12"/>
  <c r="G96" i="12"/>
  <c r="G8" i="12"/>
  <c r="G11" i="11"/>
  <c r="K305" i="12"/>
  <c r="D19" i="12"/>
  <c r="P19" i="12" s="1"/>
  <c r="T19" i="12" s="1"/>
  <c r="C41" i="18" s="1"/>
  <c r="E41" i="18" s="1"/>
  <c r="D8" i="12"/>
  <c r="B6" i="24" s="1"/>
  <c r="D6" i="24" s="1"/>
  <c r="F310" i="12"/>
  <c r="P310" i="12" s="1"/>
  <c r="F305" i="12"/>
  <c r="F304" i="12"/>
  <c r="F306" i="12" s="1"/>
  <c r="D305" i="12"/>
  <c r="N175" i="12"/>
  <c r="L175" i="12"/>
  <c r="K283" i="12"/>
  <c r="K273" i="12"/>
  <c r="K175" i="12"/>
  <c r="K42" i="12"/>
  <c r="K8" i="12"/>
  <c r="F273" i="12"/>
  <c r="F175" i="12"/>
  <c r="F108" i="12"/>
  <c r="F105" i="12"/>
  <c r="P105" i="12" s="1"/>
  <c r="T105" i="12" s="1"/>
  <c r="C88" i="18" s="1"/>
  <c r="E88" i="18" s="1"/>
  <c r="F97" i="12"/>
  <c r="F125" i="12" s="1"/>
  <c r="F133" i="12" s="1"/>
  <c r="F8" i="12"/>
  <c r="F91" i="12" s="1"/>
  <c r="D273" i="12"/>
  <c r="D175" i="12"/>
  <c r="B18" i="24" s="1"/>
  <c r="D18" i="24" s="1"/>
  <c r="D108" i="12"/>
  <c r="B10" i="24" s="1"/>
  <c r="D10" i="24" s="1"/>
  <c r="D97" i="12"/>
  <c r="B9" i="24" s="1"/>
  <c r="D9" i="24" s="1"/>
  <c r="N16" i="11"/>
  <c r="L16" i="11"/>
  <c r="F16" i="11"/>
  <c r="F27" i="11" s="1"/>
  <c r="F30" i="11" s="1"/>
  <c r="F35" i="11" s="1"/>
  <c r="F44" i="11" s="1"/>
  <c r="F11" i="11"/>
  <c r="D16" i="11"/>
  <c r="D11" i="11"/>
  <c r="B26" i="13"/>
  <c r="B33" i="13" s="1"/>
  <c r="B37" i="13" s="1"/>
  <c r="M19" i="18"/>
  <c r="M9" i="18"/>
  <c r="G143" i="18"/>
  <c r="H171" i="18"/>
  <c r="G144" i="18"/>
  <c r="H134" i="18"/>
  <c r="G170" i="18"/>
  <c r="G40" i="18"/>
  <c r="G39" i="18"/>
  <c r="H42" i="18"/>
  <c r="K19" i="18"/>
  <c r="G43" i="18"/>
  <c r="G38" i="18"/>
  <c r="F28" i="10"/>
  <c r="D28" i="10" s="1"/>
  <c r="V29" i="10"/>
  <c r="R29" i="10"/>
  <c r="L29" i="10"/>
  <c r="J29" i="10"/>
  <c r="H29" i="10"/>
  <c r="P29" i="10"/>
  <c r="T29" i="10"/>
  <c r="L13" i="26"/>
  <c r="L19" i="26" s="1"/>
  <c r="P13" i="26"/>
  <c r="P19" i="26" s="1"/>
  <c r="D40" i="14"/>
  <c r="AN11" i="11"/>
  <c r="AN7" i="11"/>
  <c r="AO7" i="11" s="1"/>
  <c r="W228" i="12"/>
  <c r="AF32" i="11"/>
  <c r="E403" i="17"/>
  <c r="F403" i="17"/>
  <c r="G403" i="17"/>
  <c r="G391" i="17"/>
  <c r="D391" i="17"/>
  <c r="G377" i="17"/>
  <c r="D399" i="17"/>
  <c r="D403" i="17" s="1"/>
  <c r="F372" i="17"/>
  <c r="F377" i="17" s="1"/>
  <c r="AF47" i="11"/>
  <c r="AF48" i="11" s="1"/>
  <c r="AF46" i="11"/>
  <c r="AD43" i="11"/>
  <c r="AF38" i="11"/>
  <c r="M43" i="18"/>
  <c r="M28" i="18"/>
  <c r="G84" i="18"/>
  <c r="K28" i="18"/>
  <c r="V125" i="12"/>
  <c r="V133" i="12" s="1"/>
  <c r="M84" i="18"/>
  <c r="M72" i="18"/>
  <c r="H37" i="18"/>
  <c r="H36" i="18"/>
  <c r="G35" i="18"/>
  <c r="G133" i="18"/>
  <c r="F26" i="10"/>
  <c r="D26" i="10" s="1"/>
  <c r="R19" i="26"/>
  <c r="V91" i="12"/>
  <c r="AF16" i="11"/>
  <c r="P39" i="11"/>
  <c r="S44" i="11"/>
  <c r="S157" i="21" s="1"/>
  <c r="W14" i="12"/>
  <c r="B43" i="11"/>
  <c r="M40" i="18"/>
  <c r="M39" i="18"/>
  <c r="K30" i="18"/>
  <c r="G81" i="18"/>
  <c r="G73" i="18"/>
  <c r="K16" i="18"/>
  <c r="G53" i="18"/>
  <c r="G198" i="18"/>
  <c r="H145" i="18"/>
  <c r="AF7" i="11"/>
  <c r="F13" i="32"/>
  <c r="F8" i="32"/>
  <c r="F11" i="32" s="1"/>
  <c r="E11" i="32"/>
  <c r="E16" i="32"/>
  <c r="F9" i="32"/>
  <c r="D11" i="32"/>
  <c r="D16" i="32" s="1"/>
  <c r="N181" i="17"/>
  <c r="N19" i="26"/>
  <c r="D26" i="13"/>
  <c r="D33" i="13" s="1"/>
  <c r="D37" i="13" s="1"/>
  <c r="V287" i="12"/>
  <c r="S122" i="12"/>
  <c r="G200" i="18"/>
  <c r="E148" i="19"/>
  <c r="K98" i="18"/>
  <c r="K93" i="18"/>
  <c r="K99" i="18" s="1"/>
  <c r="H147" i="18"/>
  <c r="G96" i="18"/>
  <c r="K83" i="18"/>
  <c r="K110" i="18"/>
  <c r="H166" i="18"/>
  <c r="M95" i="19"/>
  <c r="G199" i="18"/>
  <c r="H34" i="18"/>
  <c r="H82" i="18"/>
  <c r="H33" i="18"/>
  <c r="H213" i="18"/>
  <c r="G115" i="18"/>
  <c r="AI16" i="11"/>
  <c r="AI11" i="11"/>
  <c r="J181" i="17"/>
  <c r="K189" i="17"/>
  <c r="B54" i="12"/>
  <c r="P54" i="12" s="1"/>
  <c r="T54" i="12" s="1"/>
  <c r="E212" i="17"/>
  <c r="E213" i="17"/>
  <c r="C304" i="12"/>
  <c r="C306" i="12" s="1"/>
  <c r="C307" i="12" s="1"/>
  <c r="P314" i="12"/>
  <c r="B304" i="12"/>
  <c r="B313" i="12"/>
  <c r="P308" i="12"/>
  <c r="J273" i="12"/>
  <c r="D281" i="12"/>
  <c r="D287" i="12" s="1"/>
  <c r="D121" i="12"/>
  <c r="H21" i="22"/>
  <c r="C21" i="22"/>
  <c r="O13" i="22"/>
  <c r="N13" i="22"/>
  <c r="M13" i="22"/>
  <c r="L13" i="22"/>
  <c r="K13" i="22"/>
  <c r="J13" i="22"/>
  <c r="H13" i="22"/>
  <c r="G13" i="22"/>
  <c r="X13" i="22" s="1"/>
  <c r="W13" i="22" s="1"/>
  <c r="F13" i="22"/>
  <c r="C13" i="22"/>
  <c r="M12" i="22"/>
  <c r="H12" i="22"/>
  <c r="X12" i="22" s="1"/>
  <c r="W12" i="22" s="1"/>
  <c r="C12" i="22"/>
  <c r="M11" i="22"/>
  <c r="H11" i="22"/>
  <c r="G11" i="22"/>
  <c r="X11" i="22" s="1"/>
  <c r="W11" i="22" s="1"/>
  <c r="F11" i="22"/>
  <c r="Y11" i="22" s="1"/>
  <c r="C11" i="22"/>
  <c r="M8" i="22"/>
  <c r="H8" i="22"/>
  <c r="M7" i="22"/>
  <c r="H7" i="22"/>
  <c r="H196" i="18"/>
  <c r="G148" i="18"/>
  <c r="G122" i="19"/>
  <c r="L112" i="19"/>
  <c r="H108" i="19"/>
  <c r="H146" i="18"/>
  <c r="L95" i="19"/>
  <c r="D100" i="18"/>
  <c r="C298" i="12"/>
  <c r="D298" i="12"/>
  <c r="G304" i="12"/>
  <c r="J283" i="12"/>
  <c r="J298" i="12" s="1"/>
  <c r="I283" i="12"/>
  <c r="I287" i="12" s="1"/>
  <c r="G9" i="18"/>
  <c r="G10" i="18"/>
  <c r="H11" i="18"/>
  <c r="G12" i="18"/>
  <c r="G13" i="18"/>
  <c r="G14" i="18"/>
  <c r="G15" i="18"/>
  <c r="G16" i="18"/>
  <c r="G17" i="18"/>
  <c r="H18" i="18"/>
  <c r="H19" i="18"/>
  <c r="H20" i="18"/>
  <c r="H21" i="18"/>
  <c r="G22" i="18"/>
  <c r="H22" i="18"/>
  <c r="G23" i="18"/>
  <c r="G24" i="18"/>
  <c r="G25" i="18"/>
  <c r="G26" i="18"/>
  <c r="H27" i="18"/>
  <c r="H28" i="18"/>
  <c r="N272" i="17"/>
  <c r="E14" i="26"/>
  <c r="H206" i="18"/>
  <c r="P115" i="19"/>
  <c r="O115" i="19"/>
  <c r="H188" i="18"/>
  <c r="K18" i="18"/>
  <c r="H164" i="19"/>
  <c r="K58" i="18"/>
  <c r="P122" i="12"/>
  <c r="K12" i="18"/>
  <c r="H83" i="18"/>
  <c r="H154" i="18"/>
  <c r="G138" i="18"/>
  <c r="G154" i="18"/>
  <c r="H153" i="18"/>
  <c r="H138" i="18"/>
  <c r="G137" i="18"/>
  <c r="J114" i="19"/>
  <c r="J117" i="19" s="1"/>
  <c r="H205" i="18"/>
  <c r="G189" i="18"/>
  <c r="G94" i="18"/>
  <c r="K130" i="19"/>
  <c r="K129" i="19"/>
  <c r="K133" i="19" s="1"/>
  <c r="L134" i="19" s="1"/>
  <c r="G95" i="18"/>
  <c r="D168" i="18"/>
  <c r="H168" i="18" s="1"/>
  <c r="B156" i="18"/>
  <c r="B174" i="18"/>
  <c r="B214" i="18" s="1"/>
  <c r="B209" i="18"/>
  <c r="C313" i="12"/>
  <c r="C315" i="12" s="1"/>
  <c r="M313" i="12"/>
  <c r="M315" i="12" s="1"/>
  <c r="O273" i="17"/>
  <c r="N273" i="17"/>
  <c r="O272" i="17"/>
  <c r="O271" i="17"/>
  <c r="N271" i="17"/>
  <c r="M270" i="17"/>
  <c r="M275" i="17" s="1"/>
  <c r="M277" i="17" s="1"/>
  <c r="M281" i="17" s="1"/>
  <c r="O264" i="17"/>
  <c r="N264" i="17"/>
  <c r="O263" i="17"/>
  <c r="N263" i="17"/>
  <c r="M261" i="17"/>
  <c r="M266" i="17" s="1"/>
  <c r="E219" i="17"/>
  <c r="D210" i="17"/>
  <c r="B298" i="12"/>
  <c r="U175" i="12"/>
  <c r="K344" i="19"/>
  <c r="I346" i="19"/>
  <c r="K339" i="19"/>
  <c r="M341" i="19"/>
  <c r="I336" i="19"/>
  <c r="H356" i="19"/>
  <c r="H352" i="19"/>
  <c r="R63" i="11"/>
  <c r="AU36" i="30"/>
  <c r="AU39" i="30"/>
  <c r="AU7" i="30"/>
  <c r="AU24" i="30"/>
  <c r="AU21" i="30"/>
  <c r="AU18" i="30"/>
  <c r="AU9" i="30"/>
  <c r="AT16" i="30"/>
  <c r="AT34" i="30" s="1"/>
  <c r="AT37" i="30"/>
  <c r="AT42" i="30"/>
  <c r="AS16" i="30"/>
  <c r="AS34" i="30" s="1"/>
  <c r="AS37" i="30"/>
  <c r="AS42" i="30"/>
  <c r="AS48" i="30" s="1"/>
  <c r="W13" i="29"/>
  <c r="G190" i="18"/>
  <c r="K27" i="18"/>
  <c r="K342" i="19"/>
  <c r="J346" i="19"/>
  <c r="J350" i="19" s="1"/>
  <c r="J27" i="19"/>
  <c r="L135" i="19"/>
  <c r="H140" i="18"/>
  <c r="X48" i="11"/>
  <c r="AF29" i="30"/>
  <c r="AG7" i="30"/>
  <c r="AG47" i="30"/>
  <c r="AG39" i="30"/>
  <c r="AG36" i="30"/>
  <c r="AB47" i="30"/>
  <c r="AB39" i="30"/>
  <c r="AB36" i="30"/>
  <c r="AB21" i="30"/>
  <c r="AB7" i="30"/>
  <c r="Y47" i="30"/>
  <c r="Y39" i="30"/>
  <c r="Y36" i="30"/>
  <c r="Y21" i="30"/>
  <c r="Y18" i="30"/>
  <c r="Y9" i="30"/>
  <c r="Y7" i="30"/>
  <c r="V47" i="30"/>
  <c r="V39" i="30"/>
  <c r="S47" i="30"/>
  <c r="S39" i="30"/>
  <c r="S9" i="30"/>
  <c r="S7" i="30"/>
  <c r="P47" i="30"/>
  <c r="P36" i="30"/>
  <c r="P21" i="30"/>
  <c r="P9" i="30"/>
  <c r="P7" i="30"/>
  <c r="M47" i="30"/>
  <c r="M39" i="30"/>
  <c r="M36" i="30"/>
  <c r="M21" i="30"/>
  <c r="M9" i="30"/>
  <c r="M7" i="30"/>
  <c r="J47" i="30"/>
  <c r="J39" i="30"/>
  <c r="J36" i="30"/>
  <c r="J21" i="30"/>
  <c r="J18" i="30"/>
  <c r="J9" i="30"/>
  <c r="J7" i="30"/>
  <c r="J16" i="30" s="1"/>
  <c r="G47" i="30"/>
  <c r="G9" i="30"/>
  <c r="G7" i="30"/>
  <c r="G39" i="30"/>
  <c r="G21" i="30"/>
  <c r="F24" i="30"/>
  <c r="G24" i="30"/>
  <c r="D47" i="30"/>
  <c r="D39" i="30"/>
  <c r="D21" i="30"/>
  <c r="B16" i="30"/>
  <c r="D9" i="30"/>
  <c r="D7" i="30"/>
  <c r="D16" i="30" s="1"/>
  <c r="AO47" i="30"/>
  <c r="AN47" i="30"/>
  <c r="AI47" i="30"/>
  <c r="AH47" i="30"/>
  <c r="AE47" i="30"/>
  <c r="AD47" i="30"/>
  <c r="AC47" i="30"/>
  <c r="Z47" i="30"/>
  <c r="W47" i="30"/>
  <c r="T47" i="30"/>
  <c r="Q47" i="30"/>
  <c r="N47" i="30"/>
  <c r="K47" i="30"/>
  <c r="H47" i="30"/>
  <c r="E47" i="30"/>
  <c r="B47" i="30"/>
  <c r="AJ46" i="30"/>
  <c r="N39" i="30"/>
  <c r="P39" i="30" s="1"/>
  <c r="T36" i="30"/>
  <c r="V36" i="30" s="1"/>
  <c r="Q36" i="30"/>
  <c r="S36" i="30" s="1"/>
  <c r="E36" i="30"/>
  <c r="G36" i="30" s="1"/>
  <c r="B36" i="30"/>
  <c r="D36" i="30" s="1"/>
  <c r="AJ33" i="30"/>
  <c r="AP33" i="30" s="1"/>
  <c r="AI24" i="30"/>
  <c r="AH24" i="30"/>
  <c r="AE24" i="30"/>
  <c r="AG24" i="30" s="1"/>
  <c r="AD24" i="30"/>
  <c r="AC24" i="30"/>
  <c r="Z24" i="30"/>
  <c r="AB24" i="30" s="1"/>
  <c r="W24" i="30"/>
  <c r="Y24" i="30"/>
  <c r="T24" i="30"/>
  <c r="V24" i="30" s="1"/>
  <c r="Q24" i="30"/>
  <c r="S24" i="30"/>
  <c r="N24" i="30"/>
  <c r="P24" i="30" s="1"/>
  <c r="K24" i="30"/>
  <c r="M24" i="30"/>
  <c r="H24" i="30"/>
  <c r="E24" i="30"/>
  <c r="B24" i="30"/>
  <c r="D24" i="30" s="1"/>
  <c r="AE21" i="30"/>
  <c r="AG21" i="30" s="1"/>
  <c r="T21" i="30"/>
  <c r="V21" i="30"/>
  <c r="AJ21" i="30" s="1"/>
  <c r="AP21" i="30" s="1"/>
  <c r="AR21" i="30" s="1"/>
  <c r="Q21" i="30"/>
  <c r="S21" i="30" s="1"/>
  <c r="AE18" i="30"/>
  <c r="AG18" i="30" s="1"/>
  <c r="Z18" i="30"/>
  <c r="AB18" i="30"/>
  <c r="T18" i="30"/>
  <c r="V18" i="30" s="1"/>
  <c r="Q18" i="30"/>
  <c r="S18" i="30"/>
  <c r="S34" i="30" s="1"/>
  <c r="S37" i="30" s="1"/>
  <c r="S42" i="30" s="1"/>
  <c r="S48" i="30" s="1"/>
  <c r="N18" i="30"/>
  <c r="P18" i="30" s="1"/>
  <c r="AJ18" i="30" s="1"/>
  <c r="AP18" i="30" s="1"/>
  <c r="AR18" i="30" s="1"/>
  <c r="K18" i="30"/>
  <c r="M18" i="30" s="1"/>
  <c r="E18" i="30"/>
  <c r="G18" i="30" s="1"/>
  <c r="B18" i="30"/>
  <c r="B34" i="30" s="1"/>
  <c r="B37" i="30" s="1"/>
  <c r="B42" i="30" s="1"/>
  <c r="B48" i="30" s="1"/>
  <c r="AO16" i="30"/>
  <c r="AO34" i="30" s="1"/>
  <c r="AO37" i="30" s="1"/>
  <c r="AO42" i="30" s="1"/>
  <c r="AO48" i="30" s="1"/>
  <c r="AN16" i="30"/>
  <c r="AN34" i="30" s="1"/>
  <c r="AN37" i="30" s="1"/>
  <c r="AN42" i="30" s="1"/>
  <c r="AN48" i="30" s="1"/>
  <c r="AI16" i="30"/>
  <c r="AI34" i="30" s="1"/>
  <c r="AI37" i="30"/>
  <c r="AI42" i="30" s="1"/>
  <c r="AI48" i="30" s="1"/>
  <c r="AH16" i="30"/>
  <c r="AH34" i="30" s="1"/>
  <c r="AH37" i="30" s="1"/>
  <c r="AH42" i="30" s="1"/>
  <c r="AD16" i="30"/>
  <c r="AD34" i="30"/>
  <c r="AD37" i="30" s="1"/>
  <c r="AD42" i="30" s="1"/>
  <c r="AD48" i="30" s="1"/>
  <c r="AC16" i="30"/>
  <c r="W16" i="30"/>
  <c r="W34" i="30" s="1"/>
  <c r="W37" i="30" s="1"/>
  <c r="W42" i="30"/>
  <c r="W48" i="30" s="1"/>
  <c r="Q16" i="30"/>
  <c r="Q34" i="30" s="1"/>
  <c r="N16" i="30"/>
  <c r="K16" i="30"/>
  <c r="K34" i="30" s="1"/>
  <c r="K37" i="30" s="1"/>
  <c r="K42" i="30" s="1"/>
  <c r="K48" i="30" s="1"/>
  <c r="H16" i="30"/>
  <c r="E16" i="30"/>
  <c r="AE9" i="30"/>
  <c r="Z9" i="30"/>
  <c r="AB9" i="30"/>
  <c r="T9" i="30"/>
  <c r="V9" i="30" s="1"/>
  <c r="AE7" i="30"/>
  <c r="T7" i="30"/>
  <c r="Z16" i="30"/>
  <c r="D18" i="30"/>
  <c r="AM48" i="30"/>
  <c r="G12" i="29"/>
  <c r="U15" i="29"/>
  <c r="G8" i="29"/>
  <c r="G6" i="29"/>
  <c r="W6" i="29" s="1"/>
  <c r="I8" i="29"/>
  <c r="I6" i="29"/>
  <c r="G11" i="29"/>
  <c r="G15" i="29"/>
  <c r="W23" i="29"/>
  <c r="H15" i="29"/>
  <c r="H6" i="29"/>
  <c r="D41" i="29"/>
  <c r="E41" i="29"/>
  <c r="F41" i="29"/>
  <c r="G41" i="29"/>
  <c r="H41" i="29"/>
  <c r="C41" i="29"/>
  <c r="D8" i="29"/>
  <c r="D9" i="29" s="1"/>
  <c r="D6" i="29"/>
  <c r="D7" i="29" s="1"/>
  <c r="D11" i="29"/>
  <c r="W11" i="29" s="1"/>
  <c r="AF11" i="29" s="1"/>
  <c r="K29" i="29"/>
  <c r="L29" i="29"/>
  <c r="J29" i="29"/>
  <c r="H29" i="29"/>
  <c r="X11" i="29"/>
  <c r="D15" i="29"/>
  <c r="D29" i="29"/>
  <c r="C29" i="29"/>
  <c r="C15" i="29"/>
  <c r="Y22" i="29"/>
  <c r="AC12" i="29"/>
  <c r="AC14" i="29" s="1"/>
  <c r="AB12" i="29"/>
  <c r="AB14" i="29"/>
  <c r="AD10" i="29"/>
  <c r="AG9" i="29"/>
  <c r="AG21" i="29" s="1"/>
  <c r="AG27" i="29"/>
  <c r="AG33" i="29" s="1"/>
  <c r="AD9" i="29"/>
  <c r="X9" i="29"/>
  <c r="X21" i="29" s="1"/>
  <c r="X27" i="29" s="1"/>
  <c r="X33" i="29" s="1"/>
  <c r="X39" i="29"/>
  <c r="AD8" i="29"/>
  <c r="AD6" i="29"/>
  <c r="AD5" i="29"/>
  <c r="H32" i="18"/>
  <c r="G83" i="18"/>
  <c r="D45" i="13"/>
  <c r="B45" i="13"/>
  <c r="E7" i="20"/>
  <c r="G7" i="20"/>
  <c r="E8" i="20"/>
  <c r="G8" i="20" s="1"/>
  <c r="E9" i="20"/>
  <c r="G9" i="20" s="1"/>
  <c r="E10" i="20"/>
  <c r="G10" i="20" s="1"/>
  <c r="E11" i="20"/>
  <c r="G11" i="20" s="1"/>
  <c r="C13" i="20"/>
  <c r="D13" i="20"/>
  <c r="F13" i="20"/>
  <c r="I13" i="20"/>
  <c r="G21" i="20" s="1"/>
  <c r="J13" i="20"/>
  <c r="J15" i="20" s="1"/>
  <c r="F18" i="20"/>
  <c r="I23" i="20"/>
  <c r="I28" i="20"/>
  <c r="E35" i="20"/>
  <c r="I9" i="23"/>
  <c r="I10" i="23"/>
  <c r="I13" i="23"/>
  <c r="J15" i="23"/>
  <c r="J19" i="23" s="1"/>
  <c r="I17" i="23"/>
  <c r="E22" i="23"/>
  <c r="E24" i="23" s="1"/>
  <c r="D24" i="23"/>
  <c r="I24" i="23"/>
  <c r="I25" i="23"/>
  <c r="I29" i="23" s="1"/>
  <c r="J29" i="23"/>
  <c r="J34" i="23" s="1"/>
  <c r="D30" i="23"/>
  <c r="D31" i="23"/>
  <c r="E32" i="23"/>
  <c r="I32" i="23"/>
  <c r="E33" i="23"/>
  <c r="H6" i="24"/>
  <c r="D7" i="24"/>
  <c r="F7" i="24"/>
  <c r="H7" i="24" s="1"/>
  <c r="H8" i="24"/>
  <c r="F9" i="24"/>
  <c r="H9" i="24" s="1"/>
  <c r="F10" i="24"/>
  <c r="H10" i="24" s="1"/>
  <c r="B11" i="24"/>
  <c r="D11" i="24" s="1"/>
  <c r="F11" i="24"/>
  <c r="H11" i="24" s="1"/>
  <c r="C12" i="24"/>
  <c r="C14" i="24"/>
  <c r="C33" i="24" s="1"/>
  <c r="G12" i="24"/>
  <c r="G14" i="24" s="1"/>
  <c r="B17" i="24"/>
  <c r="D17" i="24" s="1"/>
  <c r="F17" i="24"/>
  <c r="H17" i="24" s="1"/>
  <c r="F18" i="24"/>
  <c r="H18" i="24" s="1"/>
  <c r="D20" i="24"/>
  <c r="H20" i="24"/>
  <c r="C21" i="24"/>
  <c r="G21" i="24"/>
  <c r="G31" i="24" s="1"/>
  <c r="G32" i="24" s="1"/>
  <c r="B24" i="24"/>
  <c r="D24" i="24" s="1"/>
  <c r="F24" i="24"/>
  <c r="H24" i="24" s="1"/>
  <c r="D25" i="24"/>
  <c r="F25" i="24"/>
  <c r="H25" i="24" s="1"/>
  <c r="C27" i="24"/>
  <c r="C29" i="24" s="1"/>
  <c r="G27" i="24"/>
  <c r="G29" i="24"/>
  <c r="G33" i="24" s="1"/>
  <c r="C8" i="21"/>
  <c r="D8" i="21"/>
  <c r="G8" i="21"/>
  <c r="H8" i="21"/>
  <c r="H59" i="21" s="1"/>
  <c r="J8" i="21"/>
  <c r="K8" i="21"/>
  <c r="M8" i="21"/>
  <c r="R8" i="21"/>
  <c r="S9" i="21"/>
  <c r="R10" i="21"/>
  <c r="S11" i="21"/>
  <c r="S12" i="21"/>
  <c r="F13" i="21"/>
  <c r="P13" i="21" s="1"/>
  <c r="R13" i="21"/>
  <c r="S14" i="21"/>
  <c r="R15" i="21"/>
  <c r="T13" i="21" s="1"/>
  <c r="S16" i="21"/>
  <c r="P17" i="21"/>
  <c r="R17" i="21"/>
  <c r="S18" i="21"/>
  <c r="R19" i="21"/>
  <c r="S20" i="21"/>
  <c r="P21" i="21"/>
  <c r="R21" i="21"/>
  <c r="T21" i="21" s="1"/>
  <c r="S22" i="21"/>
  <c r="S23" i="21"/>
  <c r="S24" i="21"/>
  <c r="S25" i="21"/>
  <c r="S26" i="21"/>
  <c r="S27" i="21"/>
  <c r="P28" i="21"/>
  <c r="T28" i="21" s="1"/>
  <c r="K33" i="21"/>
  <c r="P33" i="21" s="1"/>
  <c r="P34" i="21"/>
  <c r="R34" i="21"/>
  <c r="P35" i="21"/>
  <c r="S35" i="21"/>
  <c r="S36" i="21"/>
  <c r="S37" i="21"/>
  <c r="R38" i="21"/>
  <c r="R39" i="21"/>
  <c r="S40" i="21"/>
  <c r="R41" i="21"/>
  <c r="R42" i="21"/>
  <c r="R43" i="21"/>
  <c r="S44" i="21"/>
  <c r="R51" i="21"/>
  <c r="R52" i="21"/>
  <c r="R53" i="21"/>
  <c r="S54" i="21"/>
  <c r="P55" i="21"/>
  <c r="T55" i="21"/>
  <c r="R56" i="21"/>
  <c r="S57" i="21"/>
  <c r="S58" i="21"/>
  <c r="B59" i="21"/>
  <c r="D59" i="21"/>
  <c r="E59" i="21"/>
  <c r="I59" i="21"/>
  <c r="J59" i="21"/>
  <c r="L59" i="21"/>
  <c r="N59" i="21"/>
  <c r="O59" i="21"/>
  <c r="V59" i="21"/>
  <c r="P61" i="21"/>
  <c r="G62" i="21"/>
  <c r="H62" i="21"/>
  <c r="E63" i="21"/>
  <c r="F63" i="21"/>
  <c r="G63" i="21"/>
  <c r="H63" i="21"/>
  <c r="M63" i="21"/>
  <c r="S63" i="21"/>
  <c r="C64" i="21"/>
  <c r="D64" i="21"/>
  <c r="D80" i="21" s="1"/>
  <c r="D88" i="21" s="1"/>
  <c r="F64" i="21"/>
  <c r="G64" i="21"/>
  <c r="H64" i="21"/>
  <c r="J64" i="21"/>
  <c r="M64" i="21"/>
  <c r="S64" i="21"/>
  <c r="P69" i="21"/>
  <c r="T69" i="21" s="1"/>
  <c r="F70" i="21"/>
  <c r="H70" i="21"/>
  <c r="P70" i="21" s="1"/>
  <c r="S70" i="21"/>
  <c r="S71" i="21"/>
  <c r="P72" i="21"/>
  <c r="T72" i="21" s="1"/>
  <c r="C73" i="21"/>
  <c r="E73" i="21"/>
  <c r="E80" i="21" s="1"/>
  <c r="E88" i="21" s="1"/>
  <c r="E89" i="21" s="1"/>
  <c r="F73" i="21"/>
  <c r="G73" i="21"/>
  <c r="H73" i="21"/>
  <c r="I73" i="21"/>
  <c r="I80" i="21" s="1"/>
  <c r="I88" i="21" s="1"/>
  <c r="J73" i="21"/>
  <c r="K73" i="21"/>
  <c r="K80" i="21" s="1"/>
  <c r="K88" i="21" s="1"/>
  <c r="L73" i="21"/>
  <c r="L80" i="21"/>
  <c r="M73" i="21"/>
  <c r="C78" i="21"/>
  <c r="P78" i="21" s="1"/>
  <c r="S78" i="21"/>
  <c r="G79" i="21"/>
  <c r="G80" i="21" s="1"/>
  <c r="G88" i="21" s="1"/>
  <c r="S79" i="21"/>
  <c r="B80" i="21"/>
  <c r="B88" i="21"/>
  <c r="B89" i="21"/>
  <c r="J80" i="21"/>
  <c r="J88" i="21" s="1"/>
  <c r="N80" i="21"/>
  <c r="N88" i="21" s="1"/>
  <c r="N89" i="21" s="1"/>
  <c r="O80" i="21"/>
  <c r="V80" i="21"/>
  <c r="V88" i="21" s="1"/>
  <c r="P82" i="21"/>
  <c r="T82" i="21" s="1"/>
  <c r="L88" i="21"/>
  <c r="L89" i="21" s="1"/>
  <c r="O88" i="21"/>
  <c r="X90" i="21"/>
  <c r="Y90" i="21"/>
  <c r="C94" i="21"/>
  <c r="P94" i="21" s="1"/>
  <c r="R94" i="21"/>
  <c r="R95" i="21"/>
  <c r="R96" i="21"/>
  <c r="R97" i="21"/>
  <c r="R98" i="21"/>
  <c r="R99" i="21"/>
  <c r="R100" i="21"/>
  <c r="R101" i="21"/>
  <c r="R102" i="21"/>
  <c r="R103" i="21"/>
  <c r="R104" i="21"/>
  <c r="T94" i="21" s="1"/>
  <c r="R105" i="21"/>
  <c r="P106" i="21"/>
  <c r="T106" i="21" s="1"/>
  <c r="P107" i="21"/>
  <c r="T107" i="21" s="1"/>
  <c r="B108" i="21"/>
  <c r="P108" i="21" s="1"/>
  <c r="T108" i="21" s="1"/>
  <c r="P109" i="21"/>
  <c r="R109" i="21"/>
  <c r="R110" i="21"/>
  <c r="S111" i="21"/>
  <c r="S112" i="21"/>
  <c r="S113" i="21"/>
  <c r="S114" i="21"/>
  <c r="R115" i="21"/>
  <c r="T109" i="21" s="1"/>
  <c r="S116" i="21"/>
  <c r="S117" i="21"/>
  <c r="S118" i="21"/>
  <c r="R119" i="21"/>
  <c r="R120" i="21"/>
  <c r="S121" i="21"/>
  <c r="B122" i="21"/>
  <c r="C122" i="21"/>
  <c r="D122" i="21"/>
  <c r="E122" i="21"/>
  <c r="F122" i="21"/>
  <c r="G122" i="21"/>
  <c r="H122" i="21"/>
  <c r="I122" i="21"/>
  <c r="J122" i="21"/>
  <c r="K122" i="21"/>
  <c r="L122" i="21"/>
  <c r="M122" i="21"/>
  <c r="N122" i="21"/>
  <c r="O122" i="21"/>
  <c r="R122" i="21"/>
  <c r="R123" i="21"/>
  <c r="R124" i="21"/>
  <c r="S125" i="21"/>
  <c r="R126" i="21"/>
  <c r="R127" i="21"/>
  <c r="S128" i="21"/>
  <c r="R129" i="21"/>
  <c r="R130" i="21"/>
  <c r="R131" i="21"/>
  <c r="R132" i="21"/>
  <c r="S133" i="21"/>
  <c r="R134" i="21"/>
  <c r="R135" i="21"/>
  <c r="R136" i="21"/>
  <c r="R137" i="21"/>
  <c r="R138" i="21"/>
  <c r="S139" i="21"/>
  <c r="R140" i="21"/>
  <c r="S141" i="21"/>
  <c r="S142" i="21"/>
  <c r="R143" i="21"/>
  <c r="R144" i="21"/>
  <c r="S145" i="21"/>
  <c r="S146" i="21"/>
  <c r="R147" i="21"/>
  <c r="S148" i="21"/>
  <c r="S149" i="21"/>
  <c r="S150" i="21"/>
  <c r="S151" i="21"/>
  <c r="S152" i="21"/>
  <c r="S153" i="21"/>
  <c r="S154" i="21"/>
  <c r="R155" i="21"/>
  <c r="S156" i="21"/>
  <c r="S158" i="21"/>
  <c r="P160" i="21"/>
  <c r="R160" i="21"/>
  <c r="R161" i="21"/>
  <c r="S162" i="21"/>
  <c r="T160" i="21" s="1"/>
  <c r="R163" i="21"/>
  <c r="S164" i="21"/>
  <c r="V165" i="21"/>
  <c r="C168" i="21"/>
  <c r="C185" i="21" s="1"/>
  <c r="P169" i="21"/>
  <c r="S169" i="21"/>
  <c r="R170" i="21"/>
  <c r="R171" i="21"/>
  <c r="R172" i="21"/>
  <c r="R173" i="21"/>
  <c r="S174" i="21"/>
  <c r="S175" i="21"/>
  <c r="S176" i="21"/>
  <c r="R177" i="21"/>
  <c r="R178" i="21"/>
  <c r="R179" i="21"/>
  <c r="T169" i="21" s="1"/>
  <c r="P180" i="21"/>
  <c r="S180" i="21"/>
  <c r="R181" i="21"/>
  <c r="R182" i="21"/>
  <c r="R183" i="21"/>
  <c r="D185" i="21"/>
  <c r="E185" i="21"/>
  <c r="E207" i="21" s="1"/>
  <c r="F185" i="21"/>
  <c r="G185" i="21"/>
  <c r="H185" i="21"/>
  <c r="I185" i="21"/>
  <c r="J185" i="21"/>
  <c r="K185" i="21"/>
  <c r="K207" i="21" s="1"/>
  <c r="L185" i="21"/>
  <c r="M185" i="21"/>
  <c r="N185" i="21"/>
  <c r="O185" i="21"/>
  <c r="V185" i="21"/>
  <c r="B188" i="21"/>
  <c r="B168" i="21" s="1"/>
  <c r="C188" i="21"/>
  <c r="G188" i="21"/>
  <c r="G199" i="21" s="1"/>
  <c r="G207" i="21" s="1"/>
  <c r="H188" i="21"/>
  <c r="C189" i="21"/>
  <c r="P189" i="21" s="1"/>
  <c r="T189" i="21" s="1"/>
  <c r="H189" i="21"/>
  <c r="B190" i="21"/>
  <c r="C190" i="21"/>
  <c r="D190" i="21"/>
  <c r="E190" i="21"/>
  <c r="G190" i="21"/>
  <c r="H190" i="21"/>
  <c r="J190" i="21"/>
  <c r="K190" i="21"/>
  <c r="M190" i="21"/>
  <c r="S190" i="21"/>
  <c r="S191" i="21"/>
  <c r="P197" i="21"/>
  <c r="R197" i="21"/>
  <c r="B198" i="21"/>
  <c r="B210" i="21" s="1"/>
  <c r="G198" i="21"/>
  <c r="I198" i="21"/>
  <c r="J198" i="21"/>
  <c r="J199" i="21" s="1"/>
  <c r="J207" i="21" s="1"/>
  <c r="K198" i="21"/>
  <c r="M198" i="21"/>
  <c r="M210" i="21" s="1"/>
  <c r="O198" i="21"/>
  <c r="R198" i="21"/>
  <c r="D199" i="21"/>
  <c r="E199" i="21"/>
  <c r="F199" i="21"/>
  <c r="F207" i="21" s="1"/>
  <c r="I199" i="21"/>
  <c r="K199" i="21"/>
  <c r="L199" i="21"/>
  <c r="M199" i="21"/>
  <c r="M207" i="21" s="1"/>
  <c r="N199" i="21"/>
  <c r="N207" i="21" s="1"/>
  <c r="V199" i="21"/>
  <c r="P201" i="21"/>
  <c r="T201" i="21" s="1"/>
  <c r="D207" i="21"/>
  <c r="C210" i="21"/>
  <c r="D210" i="21"/>
  <c r="E210" i="21"/>
  <c r="F210" i="21"/>
  <c r="H210" i="21"/>
  <c r="I210" i="21"/>
  <c r="K210" i="21"/>
  <c r="L210" i="21"/>
  <c r="N210" i="21"/>
  <c r="B216" i="21"/>
  <c r="C216" i="21"/>
  <c r="D216" i="21"/>
  <c r="D218" i="21" s="1"/>
  <c r="D219" i="21" s="1"/>
  <c r="F216" i="21"/>
  <c r="B217" i="21"/>
  <c r="C217" i="21"/>
  <c r="C218" i="21" s="1"/>
  <c r="C219" i="21" s="1"/>
  <c r="D217" i="21"/>
  <c r="F217" i="21"/>
  <c r="K217" i="21"/>
  <c r="K218" i="21" s="1"/>
  <c r="G218" i="21"/>
  <c r="H218" i="21"/>
  <c r="H219" i="21"/>
  <c r="I218" i="21"/>
  <c r="I219" i="21" s="1"/>
  <c r="J218" i="21"/>
  <c r="J219" i="21" s="1"/>
  <c r="L218" i="21"/>
  <c r="L219" i="21" s="1"/>
  <c r="M218" i="21"/>
  <c r="N218" i="21"/>
  <c r="N219" i="21" s="1"/>
  <c r="O218" i="21"/>
  <c r="O219" i="21" s="1"/>
  <c r="E219" i="21"/>
  <c r="K219" i="21"/>
  <c r="C220" i="21"/>
  <c r="P220" i="21" s="1"/>
  <c r="B221" i="21"/>
  <c r="D221" i="21"/>
  <c r="F221" i="21"/>
  <c r="P222" i="21"/>
  <c r="F224" i="21"/>
  <c r="F225" i="21"/>
  <c r="F226" i="21" s="1"/>
  <c r="P226" i="21" s="1"/>
  <c r="K226" i="21"/>
  <c r="P227" i="21"/>
  <c r="K229" i="21"/>
  <c r="E6" i="25"/>
  <c r="F6" i="25" s="1"/>
  <c r="K6" i="25"/>
  <c r="L6" i="25"/>
  <c r="M6" i="25" s="1"/>
  <c r="M8" i="25" s="1"/>
  <c r="M18" i="25" s="1"/>
  <c r="M21" i="25" s="1"/>
  <c r="M24" i="25" s="1"/>
  <c r="M30" i="25" s="1"/>
  <c r="F7" i="25"/>
  <c r="L7" i="25"/>
  <c r="M7" i="25" s="1"/>
  <c r="B8" i="25"/>
  <c r="B18" i="25"/>
  <c r="B21" i="25" s="1"/>
  <c r="B24" i="25" s="1"/>
  <c r="B30" i="25" s="1"/>
  <c r="G8" i="25"/>
  <c r="G18" i="25" s="1"/>
  <c r="G21" i="25" s="1"/>
  <c r="G24" i="25" s="1"/>
  <c r="G30" i="25" s="1"/>
  <c r="I8" i="25"/>
  <c r="E10" i="25"/>
  <c r="F10" i="25"/>
  <c r="K10" i="25"/>
  <c r="L10" i="25" s="1"/>
  <c r="M10" i="25" s="1"/>
  <c r="F11" i="25"/>
  <c r="L11" i="25"/>
  <c r="M11" i="25" s="1"/>
  <c r="F12" i="25"/>
  <c r="L12" i="25"/>
  <c r="M12" i="25" s="1"/>
  <c r="C18" i="25"/>
  <c r="C21" i="25"/>
  <c r="C24" i="25" s="1"/>
  <c r="C30" i="25" s="1"/>
  <c r="I18" i="25"/>
  <c r="I21" i="25" s="1"/>
  <c r="I24" i="25" s="1"/>
  <c r="I30" i="25" s="1"/>
  <c r="F20" i="25"/>
  <c r="L20" i="25"/>
  <c r="M20" i="25" s="1"/>
  <c r="F23" i="25"/>
  <c r="L23" i="25"/>
  <c r="M23" i="25" s="1"/>
  <c r="Z5" i="27"/>
  <c r="S6" i="27"/>
  <c r="Z6" i="27"/>
  <c r="S8" i="27"/>
  <c r="Z8" i="27"/>
  <c r="T9" i="27"/>
  <c r="Z9" i="27"/>
  <c r="AC9" i="27"/>
  <c r="AC21" i="27"/>
  <c r="AC27" i="27" s="1"/>
  <c r="AC33" i="27" s="1"/>
  <c r="Z10" i="27"/>
  <c r="S11" i="27"/>
  <c r="T11" i="27"/>
  <c r="X12" i="27"/>
  <c r="X14" i="27" s="1"/>
  <c r="Y12" i="27"/>
  <c r="Y14" i="27" s="1"/>
  <c r="S13" i="27"/>
  <c r="S15" i="27"/>
  <c r="U22" i="27"/>
  <c r="S23" i="27"/>
  <c r="U23" i="27" s="1"/>
  <c r="N4" i="28"/>
  <c r="T4" i="28"/>
  <c r="F7" i="28"/>
  <c r="G7" i="28" s="1"/>
  <c r="E8" i="28"/>
  <c r="B9" i="28"/>
  <c r="B19" i="28" s="1"/>
  <c r="B22" i="28" s="1"/>
  <c r="B25" i="28" s="1"/>
  <c r="B31" i="28" s="1"/>
  <c r="B35" i="28" s="1"/>
  <c r="B82" i="28" s="1"/>
  <c r="B86" i="28" s="1"/>
  <c r="C9" i="28"/>
  <c r="D9" i="28"/>
  <c r="D19" i="28" s="1"/>
  <c r="G11" i="28"/>
  <c r="F13" i="28"/>
  <c r="C19" i="28"/>
  <c r="C22" i="28" s="1"/>
  <c r="C25" i="28" s="1"/>
  <c r="C31" i="28" s="1"/>
  <c r="C35" i="28" s="1"/>
  <c r="C82" i="28" s="1"/>
  <c r="C86" i="28" s="1"/>
  <c r="G21" i="28"/>
  <c r="D22" i="28"/>
  <c r="D25" i="28" s="1"/>
  <c r="D31" i="28" s="1"/>
  <c r="D35" i="28" s="1"/>
  <c r="G24" i="28"/>
  <c r="T31" i="28"/>
  <c r="O32" i="28"/>
  <c r="O4" i="28"/>
  <c r="T32" i="28"/>
  <c r="G33" i="28"/>
  <c r="G42" i="28"/>
  <c r="G43" i="28"/>
  <c r="G44" i="28"/>
  <c r="G45" i="28"/>
  <c r="G46" i="28"/>
  <c r="G47" i="28"/>
  <c r="G48" i="28"/>
  <c r="G49" i="28"/>
  <c r="E50" i="28"/>
  <c r="G50" i="28"/>
  <c r="F50" i="28"/>
  <c r="G52" i="28"/>
  <c r="B55" i="28"/>
  <c r="B72" i="28" s="1"/>
  <c r="C55" i="28"/>
  <c r="D55" i="28"/>
  <c r="G57" i="28"/>
  <c r="G58" i="28"/>
  <c r="G59" i="28"/>
  <c r="G60" i="28"/>
  <c r="G61" i="28"/>
  <c r="G62" i="28"/>
  <c r="G63" i="28"/>
  <c r="G64" i="28"/>
  <c r="E65" i="28"/>
  <c r="F65" i="28"/>
  <c r="G65" i="28" s="1"/>
  <c r="G66" i="28"/>
  <c r="B67" i="28"/>
  <c r="C67" i="28"/>
  <c r="C71" i="28" s="1"/>
  <c r="D67" i="28"/>
  <c r="D71" i="28" s="1"/>
  <c r="D72" i="28" s="1"/>
  <c r="G69" i="28"/>
  <c r="B71" i="28"/>
  <c r="S73" i="28"/>
  <c r="U74" i="28"/>
  <c r="U75" i="28"/>
  <c r="U4" i="28" s="1"/>
  <c r="T3" i="28" s="1"/>
  <c r="U76" i="28"/>
  <c r="U77" i="28" s="1"/>
  <c r="G77" i="28"/>
  <c r="G78" i="28"/>
  <c r="G79" i="28"/>
  <c r="G80" i="28"/>
  <c r="G81" i="28"/>
  <c r="G82" i="28"/>
  <c r="G84" i="28"/>
  <c r="D86" i="28"/>
  <c r="G89" i="28"/>
  <c r="G90" i="28"/>
  <c r="G91" i="28"/>
  <c r="G93" i="28" s="1"/>
  <c r="B93" i="28"/>
  <c r="C93" i="28"/>
  <c r="D93" i="28"/>
  <c r="G96" i="28"/>
  <c r="G97" i="28"/>
  <c r="F98" i="28"/>
  <c r="G98" i="28" s="1"/>
  <c r="G99" i="28"/>
  <c r="G100" i="28"/>
  <c r="B102" i="28"/>
  <c r="B106" i="28" s="1"/>
  <c r="C102" i="28"/>
  <c r="D102" i="28"/>
  <c r="D106" i="28" s="1"/>
  <c r="E19" i="19"/>
  <c r="H51" i="18" s="1"/>
  <c r="D73" i="19"/>
  <c r="E73" i="19"/>
  <c r="H88" i="19"/>
  <c r="I88" i="19"/>
  <c r="J88" i="19"/>
  <c r="K88" i="19"/>
  <c r="L88" i="19"/>
  <c r="M88" i="19"/>
  <c r="N88" i="19"/>
  <c r="I93" i="19"/>
  <c r="E102" i="19"/>
  <c r="I110" i="19"/>
  <c r="I114" i="19" s="1"/>
  <c r="I117" i="19" s="1"/>
  <c r="L111" i="19"/>
  <c r="L113" i="19"/>
  <c r="G114" i="19"/>
  <c r="H114" i="19"/>
  <c r="K114" i="19"/>
  <c r="J122" i="19"/>
  <c r="G138" i="19"/>
  <c r="H138" i="19"/>
  <c r="G139" i="19" s="1"/>
  <c r="I164" i="19"/>
  <c r="J164" i="19"/>
  <c r="K164" i="19"/>
  <c r="L164" i="19"/>
  <c r="M164" i="19"/>
  <c r="N164" i="19"/>
  <c r="E173" i="19"/>
  <c r="D174" i="19"/>
  <c r="E185" i="19"/>
  <c r="K67" i="18" s="1"/>
  <c r="D203" i="19"/>
  <c r="D204" i="19" s="1"/>
  <c r="E203" i="19"/>
  <c r="E260" i="19"/>
  <c r="J253" i="19"/>
  <c r="J254" i="19"/>
  <c r="J255" i="19"/>
  <c r="D290" i="19"/>
  <c r="D291" i="19" s="1"/>
  <c r="E290" i="19"/>
  <c r="K282" i="19"/>
  <c r="D309" i="19"/>
  <c r="E309" i="19"/>
  <c r="K11" i="18"/>
  <c r="K14" i="18"/>
  <c r="K15" i="18"/>
  <c r="K17" i="18"/>
  <c r="K21" i="18"/>
  <c r="K23" i="18"/>
  <c r="K25" i="18"/>
  <c r="K26" i="18"/>
  <c r="H30" i="18"/>
  <c r="H31" i="18"/>
  <c r="K33" i="18"/>
  <c r="G44" i="18"/>
  <c r="L36" i="18"/>
  <c r="L46" i="18" s="1"/>
  <c r="L52" i="18" s="1"/>
  <c r="K47" i="18"/>
  <c r="K48" i="18"/>
  <c r="E63" i="18"/>
  <c r="G63" i="18" s="1"/>
  <c r="K57" i="18"/>
  <c r="K60" i="18"/>
  <c r="K61" i="18"/>
  <c r="K64" i="18"/>
  <c r="K66" i="18"/>
  <c r="K68" i="18"/>
  <c r="G80" i="18"/>
  <c r="K70" i="18"/>
  <c r="L72" i="18"/>
  <c r="E85" i="18"/>
  <c r="G85" i="18" s="1"/>
  <c r="K41" i="18" s="1"/>
  <c r="K75" i="18"/>
  <c r="H89" i="18"/>
  <c r="K78" i="18"/>
  <c r="H90" i="18"/>
  <c r="K80" i="18"/>
  <c r="G92" i="18"/>
  <c r="G93" i="18"/>
  <c r="L84" i="18"/>
  <c r="G98" i="18"/>
  <c r="H98" i="18"/>
  <c r="L93" i="18"/>
  <c r="L99" i="18" s="1"/>
  <c r="G107" i="18"/>
  <c r="G108" i="18"/>
  <c r="G109" i="18"/>
  <c r="M96" i="18"/>
  <c r="M100" i="18" s="1"/>
  <c r="M104" i="18" s="1"/>
  <c r="B112" i="18"/>
  <c r="B121" i="18" s="1"/>
  <c r="B122" i="18" s="1"/>
  <c r="H116" i="18"/>
  <c r="H137" i="18"/>
  <c r="H139" i="18"/>
  <c r="H141" i="18"/>
  <c r="H142" i="18"/>
  <c r="H151" i="18"/>
  <c r="G153" i="18"/>
  <c r="H155" i="18"/>
  <c r="G160" i="18"/>
  <c r="G163" i="18"/>
  <c r="G164" i="18"/>
  <c r="G165" i="18"/>
  <c r="G166" i="18"/>
  <c r="H170" i="18"/>
  <c r="E177" i="18"/>
  <c r="G177" i="18" s="1"/>
  <c r="D178" i="18"/>
  <c r="H178" i="18" s="1"/>
  <c r="D179" i="18"/>
  <c r="H179" i="18" s="1"/>
  <c r="D180" i="18"/>
  <c r="H182" i="18"/>
  <c r="H189" i="18"/>
  <c r="H192" i="18"/>
  <c r="G193" i="18"/>
  <c r="G194" i="18"/>
  <c r="H194" i="18"/>
  <c r="G195" i="18"/>
  <c r="H203" i="18"/>
  <c r="H212" i="18"/>
  <c r="B54" i="13"/>
  <c r="D54" i="13"/>
  <c r="B71" i="13"/>
  <c r="B74" i="13" s="1"/>
  <c r="J8" i="12"/>
  <c r="J91" i="12" s="1"/>
  <c r="P25" i="12"/>
  <c r="P30" i="12"/>
  <c r="T30" i="12" s="1"/>
  <c r="C48" i="18" s="1"/>
  <c r="P37" i="12"/>
  <c r="T37" i="12" s="1"/>
  <c r="C49" i="18" s="1"/>
  <c r="P42" i="12"/>
  <c r="T42" i="12" s="1"/>
  <c r="C50" i="18" s="1"/>
  <c r="D50" i="18" s="1"/>
  <c r="P43" i="12"/>
  <c r="T43" i="12" s="1"/>
  <c r="P83" i="12"/>
  <c r="T83" i="12" s="1"/>
  <c r="C58" i="18" s="1"/>
  <c r="D58" i="18" s="1"/>
  <c r="H58" i="18" s="1"/>
  <c r="K59" i="18" s="1"/>
  <c r="C60" i="18"/>
  <c r="D60" i="18" s="1"/>
  <c r="S90" i="12"/>
  <c r="E91" i="12"/>
  <c r="G91" i="12"/>
  <c r="I91" i="12"/>
  <c r="L91" i="12"/>
  <c r="N91" i="12"/>
  <c r="O91" i="12"/>
  <c r="P93" i="12"/>
  <c r="T93" i="12" s="1"/>
  <c r="C68" i="18" s="1"/>
  <c r="E68" i="18" s="1"/>
  <c r="G68" i="18" s="1"/>
  <c r="D96" i="12"/>
  <c r="E96" i="12"/>
  <c r="E125" i="12" s="1"/>
  <c r="E133" i="12" s="1"/>
  <c r="F96" i="12"/>
  <c r="J96" i="12"/>
  <c r="S96" i="12"/>
  <c r="P103" i="12"/>
  <c r="T103" i="12" s="1"/>
  <c r="C86" i="18" s="1"/>
  <c r="E86" i="18" s="1"/>
  <c r="G86" i="18" s="1"/>
  <c r="K42" i="18" s="1"/>
  <c r="P104" i="12"/>
  <c r="T104" i="12" s="1"/>
  <c r="C87" i="18" s="1"/>
  <c r="P107" i="12"/>
  <c r="T107" i="12" s="1"/>
  <c r="C97" i="18" s="1"/>
  <c r="E97" i="18" s="1"/>
  <c r="P113" i="12"/>
  <c r="T113" i="12" s="1"/>
  <c r="P123" i="12"/>
  <c r="I125" i="12"/>
  <c r="I133" i="12" s="1"/>
  <c r="L125" i="12"/>
  <c r="L133" i="12" s="1"/>
  <c r="N125" i="12"/>
  <c r="N133" i="12" s="1"/>
  <c r="O125" i="12"/>
  <c r="O133" i="12" s="1"/>
  <c r="P127" i="12"/>
  <c r="X135" i="12"/>
  <c r="Y135" i="12"/>
  <c r="C139" i="12"/>
  <c r="G139" i="12"/>
  <c r="H139" i="12"/>
  <c r="P155" i="12"/>
  <c r="T155" i="12" s="1"/>
  <c r="C128" i="18" s="1"/>
  <c r="P156" i="12"/>
  <c r="T156" i="12" s="1"/>
  <c r="C129" i="18" s="1"/>
  <c r="B157" i="12"/>
  <c r="P157" i="12" s="1"/>
  <c r="T157" i="12" s="1"/>
  <c r="C130" i="18" s="1"/>
  <c r="D130" i="18" s="1"/>
  <c r="H130" i="18" s="1"/>
  <c r="P158" i="12"/>
  <c r="T158" i="12" s="1"/>
  <c r="P232" i="12"/>
  <c r="T232" i="12" s="1"/>
  <c r="C150" i="18" s="1"/>
  <c r="E150" i="18" s="1"/>
  <c r="P250" i="12"/>
  <c r="T250" i="12" s="1"/>
  <c r="C169" i="18" s="1"/>
  <c r="D169" i="18" s="1"/>
  <c r="P262" i="12"/>
  <c r="T262" i="12" s="1"/>
  <c r="P263" i="12"/>
  <c r="T263" i="12" s="1"/>
  <c r="D268" i="12"/>
  <c r="E268" i="12"/>
  <c r="F268" i="12"/>
  <c r="G268" i="12"/>
  <c r="H268" i="12"/>
  <c r="I268" i="12"/>
  <c r="J268" i="12"/>
  <c r="K268" i="12"/>
  <c r="L268" i="12"/>
  <c r="M268" i="12"/>
  <c r="N268" i="12"/>
  <c r="O268" i="12"/>
  <c r="V268" i="12"/>
  <c r="F272" i="12"/>
  <c r="P280" i="12"/>
  <c r="T280" i="12" s="1"/>
  <c r="C201" i="18" s="1"/>
  <c r="D201" i="18" s="1"/>
  <c r="H201" i="18" s="1"/>
  <c r="K44" i="18" s="1"/>
  <c r="E287" i="12"/>
  <c r="L287" i="12"/>
  <c r="N287" i="12"/>
  <c r="O287" i="12"/>
  <c r="P289" i="12"/>
  <c r="E298" i="12"/>
  <c r="F298" i="12"/>
  <c r="H298" i="12"/>
  <c r="K298" i="12"/>
  <c r="L298" i="12"/>
  <c r="N298" i="12"/>
  <c r="O298" i="12"/>
  <c r="P304" i="12"/>
  <c r="I306" i="12"/>
  <c r="I307" i="12" s="1"/>
  <c r="J306" i="12"/>
  <c r="J307" i="12" s="1"/>
  <c r="K306" i="12"/>
  <c r="L306" i="12"/>
  <c r="L307" i="12" s="1"/>
  <c r="N306" i="12"/>
  <c r="N307" i="12" s="1"/>
  <c r="O306" i="12"/>
  <c r="O307" i="12" s="1"/>
  <c r="E307" i="12"/>
  <c r="F313" i="12"/>
  <c r="F315" i="12" s="1"/>
  <c r="G313" i="12"/>
  <c r="G315" i="12" s="1"/>
  <c r="J313" i="12"/>
  <c r="K317" i="12"/>
  <c r="F318" i="12"/>
  <c r="G318" i="12"/>
  <c r="J318" i="12"/>
  <c r="C14" i="26"/>
  <c r="C19" i="26"/>
  <c r="D19" i="9"/>
  <c r="F19" i="9"/>
  <c r="D29" i="9"/>
  <c r="D32" i="9" s="1"/>
  <c r="F29" i="9"/>
  <c r="F32" i="9" s="1"/>
  <c r="D41" i="9"/>
  <c r="D44" i="9" s="1"/>
  <c r="D46" i="9" s="1"/>
  <c r="F41" i="9"/>
  <c r="F44" i="9" s="1"/>
  <c r="D52" i="9"/>
  <c r="F52" i="9"/>
  <c r="D67" i="9"/>
  <c r="D71" i="9" s="1"/>
  <c r="F67" i="9"/>
  <c r="F71" i="9" s="1"/>
  <c r="J12" i="16"/>
  <c r="I16" i="16"/>
  <c r="J20" i="16"/>
  <c r="J27" i="16"/>
  <c r="J28" i="16"/>
  <c r="J29" i="16"/>
  <c r="J30" i="16"/>
  <c r="I38" i="16"/>
  <c r="I43" i="16"/>
  <c r="I55" i="16"/>
  <c r="I61" i="16"/>
  <c r="I75" i="16"/>
  <c r="I78" i="16"/>
  <c r="I82" i="16"/>
  <c r="I85" i="16"/>
  <c r="I89" i="16"/>
  <c r="I92" i="16"/>
  <c r="I99" i="16"/>
  <c r="I104" i="16"/>
  <c r="L108" i="16"/>
  <c r="K197" i="17" s="1"/>
  <c r="I110" i="16"/>
  <c r="I114" i="16"/>
  <c r="I116" i="16"/>
  <c r="I121" i="16"/>
  <c r="I123" i="16"/>
  <c r="I145" i="16"/>
  <c r="I150" i="16"/>
  <c r="I156" i="16"/>
  <c r="I161" i="16"/>
  <c r="G164" i="16"/>
  <c r="I176" i="16"/>
  <c r="J185" i="16"/>
  <c r="H186" i="16"/>
  <c r="I190" i="16"/>
  <c r="I195" i="16"/>
  <c r="I200" i="16"/>
  <c r="J208" i="16"/>
  <c r="E220" i="16"/>
  <c r="E228" i="16"/>
  <c r="H228" i="16" s="1"/>
  <c r="I238" i="16"/>
  <c r="D251" i="16"/>
  <c r="E251" i="16"/>
  <c r="D284" i="16"/>
  <c r="E284" i="16"/>
  <c r="P181" i="17"/>
  <c r="T181" i="17"/>
  <c r="N182" i="17"/>
  <c r="T182" i="17"/>
  <c r="N183" i="17"/>
  <c r="P183" i="17"/>
  <c r="P185" i="17" s="1"/>
  <c r="T183" i="17"/>
  <c r="N184" i="17"/>
  <c r="P184" i="17"/>
  <c r="T184" i="17"/>
  <c r="R185" i="17"/>
  <c r="S185" i="17"/>
  <c r="T187" i="17"/>
  <c r="N188" i="17"/>
  <c r="P188" i="17"/>
  <c r="T188" i="17"/>
  <c r="G189" i="17"/>
  <c r="N189" i="17"/>
  <c r="P189" i="17"/>
  <c r="R189" i="17"/>
  <c r="S189" i="17"/>
  <c r="F194" i="17"/>
  <c r="I197" i="17" s="1"/>
  <c r="M216" i="17"/>
  <c r="O216" i="17" s="1"/>
  <c r="N218" i="17"/>
  <c r="O218" i="17"/>
  <c r="O221" i="17" s="1"/>
  <c r="O232" i="17" s="1"/>
  <c r="O253" i="17" s="1"/>
  <c r="N219" i="17"/>
  <c r="O219" i="17"/>
  <c r="M225" i="17"/>
  <c r="N225" i="17" s="1"/>
  <c r="N226" i="17"/>
  <c r="N230" i="17" s="1"/>
  <c r="O226" i="17"/>
  <c r="N227" i="17"/>
  <c r="O227" i="17"/>
  <c r="N228" i="17"/>
  <c r="O228" i="17"/>
  <c r="F239" i="17"/>
  <c r="M236" i="17"/>
  <c r="N236" i="17"/>
  <c r="N241" i="17" s="1"/>
  <c r="N238" i="17"/>
  <c r="O238" i="17"/>
  <c r="N239" i="17"/>
  <c r="O239" i="17"/>
  <c r="M245" i="17"/>
  <c r="M250" i="17" s="1"/>
  <c r="N246" i="17"/>
  <c r="O246" i="17"/>
  <c r="N247" i="17"/>
  <c r="O247" i="17"/>
  <c r="N248" i="17"/>
  <c r="O248" i="17"/>
  <c r="X7" i="22"/>
  <c r="W7" i="22" s="1"/>
  <c r="Y7" i="22"/>
  <c r="Z7" i="22"/>
  <c r="AA7" i="22"/>
  <c r="AA9" i="22"/>
  <c r="AA19" i="22" s="1"/>
  <c r="AE7" i="22"/>
  <c r="Y8" i="22"/>
  <c r="Z8" i="22"/>
  <c r="Z9" i="22" s="1"/>
  <c r="Z19" i="22" s="1"/>
  <c r="Z22" i="22" s="1"/>
  <c r="Z25" i="22" s="1"/>
  <c r="Z31" i="22" s="1"/>
  <c r="AA8" i="22"/>
  <c r="AE8" i="22"/>
  <c r="B9" i="22"/>
  <c r="B19" i="22" s="1"/>
  <c r="B22" i="22" s="1"/>
  <c r="B25" i="22" s="1"/>
  <c r="C9" i="22"/>
  <c r="D9" i="22"/>
  <c r="D19" i="22"/>
  <c r="D22" i="22" s="1"/>
  <c r="D25" i="22" s="1"/>
  <c r="E9" i="22"/>
  <c r="E19" i="22" s="1"/>
  <c r="E22" i="22" s="1"/>
  <c r="E25" i="22" s="1"/>
  <c r="F9" i="22"/>
  <c r="F19" i="22" s="1"/>
  <c r="F22" i="22" s="1"/>
  <c r="F25" i="22" s="1"/>
  <c r="G9" i="22"/>
  <c r="I9" i="22"/>
  <c r="I19" i="22" s="1"/>
  <c r="I22" i="22" s="1"/>
  <c r="I25" i="22" s="1"/>
  <c r="J9" i="22"/>
  <c r="J19" i="22" s="1"/>
  <c r="J22" i="22" s="1"/>
  <c r="K9" i="22"/>
  <c r="L9" i="22"/>
  <c r="N9" i="22"/>
  <c r="O9" i="22"/>
  <c r="O19" i="22" s="1"/>
  <c r="O22" i="22" s="1"/>
  <c r="O25" i="22" s="1"/>
  <c r="T9" i="22"/>
  <c r="T19" i="22" s="1"/>
  <c r="T22" i="22" s="1"/>
  <c r="T25" i="22" s="1"/>
  <c r="V9" i="22"/>
  <c r="AC9" i="22"/>
  <c r="AC19" i="22" s="1"/>
  <c r="AC22" i="22" s="1"/>
  <c r="AC25" i="22" s="1"/>
  <c r="AC31" i="22" s="1"/>
  <c r="AD9" i="22"/>
  <c r="AD19" i="22" s="1"/>
  <c r="AF9" i="22"/>
  <c r="W10" i="22"/>
  <c r="Z11" i="22"/>
  <c r="AA11" i="22"/>
  <c r="AE11" i="22"/>
  <c r="Y12" i="22"/>
  <c r="Z12" i="22"/>
  <c r="AE12" i="22"/>
  <c r="Z13" i="22"/>
  <c r="AA13" i="22"/>
  <c r="AE13" i="22"/>
  <c r="AF13" i="22"/>
  <c r="R15" i="22"/>
  <c r="R16" i="22"/>
  <c r="R17" i="22"/>
  <c r="X18" i="22"/>
  <c r="AE18" i="22"/>
  <c r="N19" i="22"/>
  <c r="N22" i="22" s="1"/>
  <c r="N25" i="22" s="1"/>
  <c r="N31" i="22" s="1"/>
  <c r="V19" i="22"/>
  <c r="AD22" i="22"/>
  <c r="AD25" i="22" s="1"/>
  <c r="AD31" i="22" s="1"/>
  <c r="AF19" i="22"/>
  <c r="AF22" i="22" s="1"/>
  <c r="AF25" i="22" s="1"/>
  <c r="AF31" i="22" s="1"/>
  <c r="W20" i="22"/>
  <c r="X21" i="22"/>
  <c r="Y21" i="22"/>
  <c r="Z21" i="22"/>
  <c r="AE21" i="22"/>
  <c r="J25" i="22"/>
  <c r="V22" i="22"/>
  <c r="V25" i="22"/>
  <c r="V31" i="22" s="1"/>
  <c r="W23" i="22"/>
  <c r="P24" i="22"/>
  <c r="S24" i="22"/>
  <c r="S31" i="22" s="1"/>
  <c r="X24" i="22"/>
  <c r="Y24" i="22"/>
  <c r="Z24" i="22"/>
  <c r="AA24" i="22"/>
  <c r="W24" i="22" s="1"/>
  <c r="AE24" i="22"/>
  <c r="P29" i="22"/>
  <c r="P30" i="22" s="1"/>
  <c r="X29" i="22"/>
  <c r="Y29" i="22"/>
  <c r="Y30" i="22" s="1"/>
  <c r="Z29" i="22"/>
  <c r="AA29" i="22"/>
  <c r="AA30" i="22" s="1"/>
  <c r="AE29" i="22"/>
  <c r="AE30" i="22" s="1"/>
  <c r="B30" i="22"/>
  <c r="C30" i="22"/>
  <c r="D30" i="22"/>
  <c r="E30" i="22"/>
  <c r="E31" i="22" s="1"/>
  <c r="F30" i="22"/>
  <c r="G30" i="22"/>
  <c r="H30" i="22"/>
  <c r="I30" i="22"/>
  <c r="I31" i="22" s="1"/>
  <c r="J30" i="22"/>
  <c r="K30" i="22"/>
  <c r="L30" i="22"/>
  <c r="M30" i="22"/>
  <c r="N30" i="22"/>
  <c r="O30" i="22"/>
  <c r="T30" i="22"/>
  <c r="V30" i="22"/>
  <c r="X30" i="22"/>
  <c r="AC30" i="22"/>
  <c r="AD30" i="22"/>
  <c r="W33" i="22"/>
  <c r="AE33" i="22"/>
  <c r="AE35" i="22" s="1"/>
  <c r="AE34" i="22"/>
  <c r="AC35" i="22"/>
  <c r="AD35" i="22"/>
  <c r="AF35" i="22"/>
  <c r="U39" i="22"/>
  <c r="Z7" i="11"/>
  <c r="Z9" i="11" s="1"/>
  <c r="AA7" i="11"/>
  <c r="AA9" i="11" s="1"/>
  <c r="AB7" i="11"/>
  <c r="Z8" i="11"/>
  <c r="AA8" i="11"/>
  <c r="AB8" i="11"/>
  <c r="AB9" i="11" s="1"/>
  <c r="AF8" i="11"/>
  <c r="AN8" i="11"/>
  <c r="AO8" i="11"/>
  <c r="AO9" i="11" s="1"/>
  <c r="B9" i="11"/>
  <c r="C9" i="11"/>
  <c r="D9" i="11"/>
  <c r="D27" i="11" s="1"/>
  <c r="D30" i="11" s="1"/>
  <c r="D35" i="11" s="1"/>
  <c r="D44" i="11" s="1"/>
  <c r="E9" i="11"/>
  <c r="E27" i="11" s="1"/>
  <c r="E30" i="11" s="1"/>
  <c r="E35" i="11" s="1"/>
  <c r="F9" i="11"/>
  <c r="G9" i="11"/>
  <c r="G27" i="11"/>
  <c r="G30" i="11" s="1"/>
  <c r="G35" i="11" s="1"/>
  <c r="I9" i="11"/>
  <c r="I27" i="11" s="1"/>
  <c r="I30" i="11" s="1"/>
  <c r="I35" i="11" s="1"/>
  <c r="J9" i="11"/>
  <c r="J27" i="11" s="1"/>
  <c r="J30" i="11" s="1"/>
  <c r="J35" i="11" s="1"/>
  <c r="J44" i="11" s="1"/>
  <c r="K9" i="11"/>
  <c r="L9" i="11"/>
  <c r="M9" i="11"/>
  <c r="M27" i="11" s="1"/>
  <c r="M30" i="11" s="1"/>
  <c r="M35" i="11" s="1"/>
  <c r="M44" i="11" s="1"/>
  <c r="N9" i="11"/>
  <c r="N27" i="11" s="1"/>
  <c r="N30" i="11" s="1"/>
  <c r="N35" i="11" s="1"/>
  <c r="O9" i="11"/>
  <c r="O27" i="11" s="1"/>
  <c r="O30" i="11" s="1"/>
  <c r="O35" i="11" s="1"/>
  <c r="T9" i="11"/>
  <c r="U9" i="11"/>
  <c r="U27" i="11" s="1"/>
  <c r="U30" i="11" s="1"/>
  <c r="U35" i="11" s="1"/>
  <c r="W9" i="11"/>
  <c r="W27" i="11" s="1"/>
  <c r="W30" i="11" s="1"/>
  <c r="W35" i="11" s="1"/>
  <c r="AD9" i="11"/>
  <c r="AD27" i="11" s="1"/>
  <c r="AD30" i="11" s="1"/>
  <c r="AD35" i="11" s="1"/>
  <c r="AD44" i="11" s="1"/>
  <c r="AE9" i="11"/>
  <c r="AE27" i="11" s="1"/>
  <c r="AE30" i="11" s="1"/>
  <c r="AE35" i="11" s="1"/>
  <c r="AE44" i="11" s="1"/>
  <c r="AG9" i="11"/>
  <c r="AG27" i="11" s="1"/>
  <c r="AG30" i="11" s="1"/>
  <c r="AG35" i="11" s="1"/>
  <c r="AG44" i="11" s="1"/>
  <c r="AI9" i="11"/>
  <c r="AI27" i="11" s="1"/>
  <c r="AI30" i="11" s="1"/>
  <c r="AI35" i="11" s="1"/>
  <c r="AI44" i="11" s="1"/>
  <c r="AJ9" i="11"/>
  <c r="AJ27" i="11" s="1"/>
  <c r="AJ30" i="11" s="1"/>
  <c r="AJ35" i="11" s="1"/>
  <c r="AJ44" i="11" s="1"/>
  <c r="X10" i="11"/>
  <c r="Y11" i="11"/>
  <c r="Z11" i="11"/>
  <c r="AA11" i="11"/>
  <c r="AB11" i="11"/>
  <c r="AF11" i="11"/>
  <c r="AO11" i="11"/>
  <c r="Y15" i="11"/>
  <c r="Z15" i="11"/>
  <c r="AA15" i="11"/>
  <c r="AF15" i="11"/>
  <c r="AN15" i="11"/>
  <c r="AO15" i="11" s="1"/>
  <c r="P16" i="11"/>
  <c r="AB16" i="11"/>
  <c r="AN16" i="11"/>
  <c r="AO16" i="11"/>
  <c r="X47" i="11"/>
  <c r="P26" i="11"/>
  <c r="V26" i="11" s="1"/>
  <c r="Y26" i="11"/>
  <c r="AF26" i="11"/>
  <c r="K27" i="11"/>
  <c r="K30" i="11" s="1"/>
  <c r="K35" i="11" s="1"/>
  <c r="K44" i="11" s="1"/>
  <c r="L27" i="11"/>
  <c r="L30" i="11" s="1"/>
  <c r="L35" i="11" s="1"/>
  <c r="T27" i="11"/>
  <c r="T30" i="11"/>
  <c r="T35" i="11" s="1"/>
  <c r="T44" i="11" s="1"/>
  <c r="X28" i="11"/>
  <c r="P29" i="11"/>
  <c r="V29" i="11" s="1"/>
  <c r="Y29" i="11"/>
  <c r="Z29" i="11"/>
  <c r="AB29" i="11"/>
  <c r="AF29" i="11"/>
  <c r="AN29" i="11"/>
  <c r="AO29" i="11" s="1"/>
  <c r="X31" i="11"/>
  <c r="P32" i="11"/>
  <c r="V32" i="11" s="1"/>
  <c r="Y32" i="11"/>
  <c r="Z32" i="11"/>
  <c r="AA32" i="11"/>
  <c r="AB32" i="11"/>
  <c r="AN32" i="11"/>
  <c r="AO32" i="11" s="1"/>
  <c r="Y39" i="11"/>
  <c r="Y43" i="11" s="1"/>
  <c r="Z39" i="11"/>
  <c r="Z43" i="11" s="1"/>
  <c r="AA39" i="11"/>
  <c r="AA43" i="11" s="1"/>
  <c r="AB39" i="11"/>
  <c r="AB43" i="11" s="1"/>
  <c r="AF39" i="11"/>
  <c r="C43" i="11"/>
  <c r="D43" i="11"/>
  <c r="E43" i="11"/>
  <c r="F43" i="11"/>
  <c r="G43" i="11"/>
  <c r="H43" i="11"/>
  <c r="I43" i="11"/>
  <c r="J43" i="11"/>
  <c r="K43" i="11"/>
  <c r="L43" i="11"/>
  <c r="M43" i="11"/>
  <c r="N43" i="11"/>
  <c r="O43" i="11"/>
  <c r="T43" i="11"/>
  <c r="U43" i="11"/>
  <c r="W43" i="11"/>
  <c r="AN46" i="11"/>
  <c r="AO46" i="11"/>
  <c r="AO48" i="11" s="1"/>
  <c r="AN47" i="11"/>
  <c r="AO47" i="11" s="1"/>
  <c r="AD48" i="11"/>
  <c r="AE48" i="11"/>
  <c r="AG48" i="11"/>
  <c r="AI48" i="11"/>
  <c r="AJ48" i="11"/>
  <c r="X49" i="11"/>
  <c r="V52" i="11"/>
  <c r="D19" i="14"/>
  <c r="D24" i="14" s="1"/>
  <c r="D27" i="14" s="1"/>
  <c r="D30" i="14" s="1"/>
  <c r="D35" i="14" s="1"/>
  <c r="F19" i="14"/>
  <c r="F24" i="14" s="1"/>
  <c r="F27" i="14" s="1"/>
  <c r="F30" i="14" s="1"/>
  <c r="F35" i="14" s="1"/>
  <c r="H19" i="14"/>
  <c r="H24" i="14" s="1"/>
  <c r="H27" i="14" s="1"/>
  <c r="H30" i="14" s="1"/>
  <c r="H35" i="14" s="1"/>
  <c r="F40" i="14"/>
  <c r="H40" i="14"/>
  <c r="D46" i="14"/>
  <c r="F46" i="14"/>
  <c r="H46" i="14"/>
  <c r="S29" i="27"/>
  <c r="U29" i="27"/>
  <c r="B9" i="27"/>
  <c r="B21" i="27"/>
  <c r="B27" i="27" s="1"/>
  <c r="B33" i="27" s="1"/>
  <c r="B39" i="27" s="1"/>
  <c r="AF13" i="29"/>
  <c r="Y13" i="29"/>
  <c r="AF23" i="29"/>
  <c r="Y23" i="29"/>
  <c r="B9" i="29"/>
  <c r="B21" i="29"/>
  <c r="B27" i="29" s="1"/>
  <c r="B33" i="29" s="1"/>
  <c r="B39" i="29" s="1"/>
  <c r="Y11" i="29"/>
  <c r="T56" i="21"/>
  <c r="AB16" i="30"/>
  <c r="AB29" i="27"/>
  <c r="AN48" i="11"/>
  <c r="U6" i="27"/>
  <c r="AB6" i="27"/>
  <c r="U11" i="27"/>
  <c r="AB11" i="27"/>
  <c r="U13" i="27"/>
  <c r="AB13" i="27"/>
  <c r="U15" i="27"/>
  <c r="AB15" i="27"/>
  <c r="U8" i="27"/>
  <c r="S9" i="27"/>
  <c r="S21" i="27" s="1"/>
  <c r="AB8" i="27"/>
  <c r="AL48" i="30"/>
  <c r="G197" i="18"/>
  <c r="O261" i="17"/>
  <c r="N261" i="17"/>
  <c r="N270" i="17"/>
  <c r="D74" i="19"/>
  <c r="R231" i="21"/>
  <c r="AN9" i="11"/>
  <c r="T189" i="17"/>
  <c r="P190" i="17"/>
  <c r="N245" i="17"/>
  <c r="N250" i="17"/>
  <c r="O225" i="17"/>
  <c r="O230" i="17" s="1"/>
  <c r="D29" i="23"/>
  <c r="M241" i="17"/>
  <c r="M252" i="17" s="1"/>
  <c r="M230" i="17"/>
  <c r="N216" i="17"/>
  <c r="N221" i="17" s="1"/>
  <c r="O236" i="17"/>
  <c r="O241" i="17" s="1"/>
  <c r="I199" i="17"/>
  <c r="E22" i="26"/>
  <c r="K63" i="18"/>
  <c r="K34" i="18"/>
  <c r="P43" i="11"/>
  <c r="AB90" i="21"/>
  <c r="V38" i="11"/>
  <c r="V43" i="11" s="1"/>
  <c r="T70" i="21"/>
  <c r="Z30" i="22"/>
  <c r="O31" i="22"/>
  <c r="P168" i="21"/>
  <c r="T168" i="21" s="1"/>
  <c r="B185" i="21"/>
  <c r="T61" i="21"/>
  <c r="P122" i="21"/>
  <c r="I298" i="12"/>
  <c r="P7" i="22"/>
  <c r="M9" i="22"/>
  <c r="M19" i="22"/>
  <c r="M22" i="22" s="1"/>
  <c r="M25" i="22" s="1"/>
  <c r="M31" i="22" s="1"/>
  <c r="AA12" i="22"/>
  <c r="C19" i="22"/>
  <c r="C22" i="22"/>
  <c r="C25" i="22" s="1"/>
  <c r="C31" i="22" s="1"/>
  <c r="C33" i="22" s="1"/>
  <c r="Y13" i="22"/>
  <c r="P13" i="22"/>
  <c r="U13" i="22" s="1"/>
  <c r="P94" i="12"/>
  <c r="M298" i="12"/>
  <c r="E94" i="19"/>
  <c r="E4" i="16"/>
  <c r="S47" i="21"/>
  <c r="F14" i="28"/>
  <c r="G13" i="28"/>
  <c r="J89" i="21"/>
  <c r="O245" i="17"/>
  <c r="O250" i="17" s="1"/>
  <c r="P217" i="21"/>
  <c r="P232" i="21" s="1"/>
  <c r="F218" i="21"/>
  <c r="H199" i="21"/>
  <c r="H207" i="21" s="1"/>
  <c r="V207" i="21"/>
  <c r="V208" i="21" s="1"/>
  <c r="P79" i="21"/>
  <c r="G210" i="21"/>
  <c r="C80" i="21"/>
  <c r="C88" i="21" s="1"/>
  <c r="P73" i="21"/>
  <c r="T73" i="21"/>
  <c r="P63" i="21"/>
  <c r="H80" i="21"/>
  <c r="H88" i="21" s="1"/>
  <c r="T33" i="21"/>
  <c r="D4" i="16"/>
  <c r="H220" i="16"/>
  <c r="C72" i="28"/>
  <c r="T17" i="21"/>
  <c r="AJ36" i="30"/>
  <c r="AP36" i="30" s="1"/>
  <c r="AR36" i="30" s="1"/>
  <c r="AJ47" i="30"/>
  <c r="AP46" i="30"/>
  <c r="AP47" i="30" s="1"/>
  <c r="S16" i="30"/>
  <c r="W8" i="29"/>
  <c r="AF8" i="29" s="1"/>
  <c r="AJ39" i="30"/>
  <c r="AP39" i="30"/>
  <c r="AR39" i="30" s="1"/>
  <c r="S35" i="11"/>
  <c r="S228" i="12" s="1"/>
  <c r="H52" i="18"/>
  <c r="W29" i="29"/>
  <c r="Y29" i="29" s="1"/>
  <c r="L110" i="19"/>
  <c r="L114" i="19" s="1"/>
  <c r="D110" i="19" s="1"/>
  <c r="F16" i="32"/>
  <c r="AF43" i="11"/>
  <c r="D3" i="16"/>
  <c r="T232" i="21"/>
  <c r="U7" i="22"/>
  <c r="T79" i="21"/>
  <c r="T122" i="21"/>
  <c r="AF6" i="29" l="1"/>
  <c r="W9" i="29"/>
  <c r="Y6" i="29"/>
  <c r="F219" i="21"/>
  <c r="X15" i="11"/>
  <c r="O3" i="28"/>
  <c r="D34" i="30"/>
  <c r="D37" i="30" s="1"/>
  <c r="D42" i="30" s="1"/>
  <c r="D48" i="30" s="1"/>
  <c r="S27" i="27"/>
  <c r="AB21" i="27"/>
  <c r="G67" i="28"/>
  <c r="G71" i="28" s="1"/>
  <c r="G72" i="28" s="1"/>
  <c r="H89" i="21"/>
  <c r="W30" i="22"/>
  <c r="Y8" i="29"/>
  <c r="AL49" i="30"/>
  <c r="E3" i="28"/>
  <c r="G8" i="28"/>
  <c r="G9" i="28" s="1"/>
  <c r="G19" i="28" s="1"/>
  <c r="G22" i="28" s="1"/>
  <c r="G25" i="28" s="1"/>
  <c r="G31" i="28" s="1"/>
  <c r="O199" i="21"/>
  <c r="O207" i="21" s="1"/>
  <c r="O210" i="21"/>
  <c r="P8" i="22"/>
  <c r="X8" i="22"/>
  <c r="W8" i="22" s="1"/>
  <c r="H9" i="22"/>
  <c r="H19" i="22" s="1"/>
  <c r="H22" i="22" s="1"/>
  <c r="H25" i="22" s="1"/>
  <c r="H31" i="22" s="1"/>
  <c r="P21" i="22"/>
  <c r="U21" i="22" s="1"/>
  <c r="AA21" i="22"/>
  <c r="W21" i="22" s="1"/>
  <c r="L8" i="25"/>
  <c r="L18" i="25" s="1"/>
  <c r="L21" i="25" s="1"/>
  <c r="L24" i="25" s="1"/>
  <c r="L30" i="25" s="1"/>
  <c r="O266" i="17"/>
  <c r="U44" i="11"/>
  <c r="I44" i="11"/>
  <c r="W29" i="22"/>
  <c r="G19" i="22"/>
  <c r="G22" i="22" s="1"/>
  <c r="G25" i="22" s="1"/>
  <c r="G31" i="22" s="1"/>
  <c r="E13" i="20"/>
  <c r="Y7" i="11"/>
  <c r="Y9" i="11" s="1"/>
  <c r="X9" i="11" s="1"/>
  <c r="P7" i="11"/>
  <c r="V7" i="11" s="1"/>
  <c r="AA16" i="11"/>
  <c r="B27" i="11"/>
  <c r="B30" i="11" s="1"/>
  <c r="B35" i="11" s="1"/>
  <c r="B44" i="11" s="1"/>
  <c r="P249" i="12"/>
  <c r="T249" i="12" s="1"/>
  <c r="C159" i="18" s="1"/>
  <c r="E159" i="18" s="1"/>
  <c r="G159" i="18" s="1"/>
  <c r="AF29" i="29"/>
  <c r="P185" i="21"/>
  <c r="Z16" i="11"/>
  <c r="F3" i="28"/>
  <c r="P198" i="21"/>
  <c r="P210" i="21" s="1"/>
  <c r="D91" i="12"/>
  <c r="P12" i="22"/>
  <c r="U12" i="22" s="1"/>
  <c r="X9" i="22"/>
  <c r="X19" i="22" s="1"/>
  <c r="X22" i="22" s="1"/>
  <c r="X25" i="22" s="1"/>
  <c r="X31" i="22" s="1"/>
  <c r="E34" i="23"/>
  <c r="AN27" i="11"/>
  <c r="AN30" i="11" s="1"/>
  <c r="AN35" i="11" s="1"/>
  <c r="AN44" i="11" s="1"/>
  <c r="AB23" i="27"/>
  <c r="AB34" i="30"/>
  <c r="AB37" i="30" s="1"/>
  <c r="AB42" i="30" s="1"/>
  <c r="AB48" i="30" s="1"/>
  <c r="X32" i="11"/>
  <c r="X29" i="11"/>
  <c r="G44" i="11"/>
  <c r="J31" i="22"/>
  <c r="C106" i="28"/>
  <c r="C107" i="28"/>
  <c r="C108" i="28" s="1"/>
  <c r="P228" i="21"/>
  <c r="P221" i="21"/>
  <c r="T180" i="21"/>
  <c r="I89" i="21"/>
  <c r="M219" i="21"/>
  <c r="G59" i="21"/>
  <c r="G89" i="21" s="1"/>
  <c r="G219" i="21"/>
  <c r="Z34" i="30"/>
  <c r="Z37" i="30" s="1"/>
  <c r="Z42" i="30" s="1"/>
  <c r="Z48" i="30" s="1"/>
  <c r="N34" i="30"/>
  <c r="N37" i="30" s="1"/>
  <c r="N42" i="30" s="1"/>
  <c r="N48" i="30" s="1"/>
  <c r="AH48" i="30"/>
  <c r="H34" i="30"/>
  <c r="H37" i="30" s="1"/>
  <c r="H42" i="30" s="1"/>
  <c r="H48" i="30" s="1"/>
  <c r="J24" i="30"/>
  <c r="J34" i="30" s="1"/>
  <c r="J37" i="30" s="1"/>
  <c r="J42" i="30" s="1"/>
  <c r="J48" i="30" s="1"/>
  <c r="P11" i="11"/>
  <c r="V11" i="11" s="1"/>
  <c r="G125" i="12"/>
  <c r="G133" i="12" s="1"/>
  <c r="G134" i="12" s="1"/>
  <c r="H9" i="11"/>
  <c r="H27" i="11" s="1"/>
  <c r="H30" i="11" s="1"/>
  <c r="H35" i="11" s="1"/>
  <c r="H44" i="11" s="1"/>
  <c r="P8" i="11"/>
  <c r="V8" i="11" s="1"/>
  <c r="Y8" i="11"/>
  <c r="N44" i="11"/>
  <c r="N157" i="21" s="1"/>
  <c r="N165" i="21" s="1"/>
  <c r="N208" i="21" s="1"/>
  <c r="N209" i="21" s="1"/>
  <c r="F31" i="22"/>
  <c r="G55" i="28"/>
  <c r="E44" i="11"/>
  <c r="O295" i="12"/>
  <c r="T185" i="21"/>
  <c r="K50" i="18"/>
  <c r="K49" i="18"/>
  <c r="J210" i="21"/>
  <c r="X39" i="11"/>
  <c r="AB9" i="27"/>
  <c r="N275" i="17"/>
  <c r="L44" i="11"/>
  <c r="L228" i="12" s="1"/>
  <c r="L246" i="12" s="1"/>
  <c r="AB15" i="11"/>
  <c r="O44" i="11"/>
  <c r="N185" i="17"/>
  <c r="T198" i="21"/>
  <c r="O89" i="21"/>
  <c r="AA89" i="21" s="1"/>
  <c r="Q37" i="30"/>
  <c r="Q42" i="30" s="1"/>
  <c r="Q48" i="30" s="1"/>
  <c r="AU16" i="30"/>
  <c r="G306" i="12"/>
  <c r="G307" i="12" s="1"/>
  <c r="G2" i="17"/>
  <c r="C27" i="11"/>
  <c r="C30" i="11" s="1"/>
  <c r="C35" i="11" s="1"/>
  <c r="C44" i="11" s="1"/>
  <c r="AF9" i="11"/>
  <c r="L31" i="22"/>
  <c r="L19" i="22"/>
  <c r="L22" i="22" s="1"/>
  <c r="L25" i="22" s="1"/>
  <c r="D31" i="22"/>
  <c r="N190" i="17"/>
  <c r="T185" i="17"/>
  <c r="C22" i="26"/>
  <c r="G22" i="26"/>
  <c r="I22" i="26"/>
  <c r="B107" i="28"/>
  <c r="B108" i="28" s="1"/>
  <c r="B218" i="21"/>
  <c r="B219" i="21" s="1"/>
  <c r="P188" i="21"/>
  <c r="T188" i="21" s="1"/>
  <c r="T78" i="21"/>
  <c r="T34" i="21"/>
  <c r="K59" i="21"/>
  <c r="F8" i="21"/>
  <c r="F59" i="21" s="1"/>
  <c r="W15" i="29"/>
  <c r="P16" i="30"/>
  <c r="P34" i="30" s="1"/>
  <c r="P37" i="30" s="1"/>
  <c r="P42" i="30" s="1"/>
  <c r="P48" i="30" s="1"/>
  <c r="Y16" i="30"/>
  <c r="Y34" i="30" s="1"/>
  <c r="Y37" i="30" s="1"/>
  <c r="Y42" i="30" s="1"/>
  <c r="Y48" i="30" s="1"/>
  <c r="P305" i="12"/>
  <c r="T31" i="22"/>
  <c r="K19" i="22"/>
  <c r="K22" i="22" s="1"/>
  <c r="K25" i="22" s="1"/>
  <c r="K31" i="22" s="1"/>
  <c r="F2" i="17"/>
  <c r="K307" i="12"/>
  <c r="J256" i="19"/>
  <c r="J258" i="19" s="1"/>
  <c r="T33" i="28"/>
  <c r="T41" i="28" s="1"/>
  <c r="T21" i="27"/>
  <c r="T27" i="27" s="1"/>
  <c r="T33" i="27" s="1"/>
  <c r="T39" i="27" s="1"/>
  <c r="F8" i="25"/>
  <c r="F18" i="25" s="1"/>
  <c r="F21" i="25" s="1"/>
  <c r="F24" i="25" s="1"/>
  <c r="F30" i="25" s="1"/>
  <c r="I207" i="21"/>
  <c r="F80" i="21"/>
  <c r="F88" i="21" s="1"/>
  <c r="F89" i="21" s="1"/>
  <c r="P62" i="21"/>
  <c r="T62" i="21" s="1"/>
  <c r="V89" i="21"/>
  <c r="V2" i="21" s="1"/>
  <c r="D89" i="21"/>
  <c r="D27" i="24"/>
  <c r="AC34" i="30"/>
  <c r="AC37" i="30" s="1"/>
  <c r="AC42" i="30" s="1"/>
  <c r="AC48" i="30" s="1"/>
  <c r="P11" i="22"/>
  <c r="U11" i="22" s="1"/>
  <c r="M36" i="18"/>
  <c r="M46" i="18" s="1"/>
  <c r="M52" i="18" s="1"/>
  <c r="D306" i="12"/>
  <c r="D307" i="12" s="1"/>
  <c r="J125" i="12"/>
  <c r="J133" i="12" s="1"/>
  <c r="M307" i="12"/>
  <c r="B125" i="12"/>
  <c r="B133" i="12" s="1"/>
  <c r="L96" i="18"/>
  <c r="L100" i="18" s="1"/>
  <c r="L104" i="18" s="1"/>
  <c r="B215" i="18"/>
  <c r="B216" i="18" s="1"/>
  <c r="B1" i="18" s="1"/>
  <c r="O164" i="19"/>
  <c r="D167" i="19" s="1"/>
  <c r="K24" i="18" s="1"/>
  <c r="G97" i="18"/>
  <c r="E3" i="19"/>
  <c r="B56" i="13"/>
  <c r="B60" i="13" s="1"/>
  <c r="D56" i="13"/>
  <c r="D60" i="13" s="1"/>
  <c r="F27" i="10"/>
  <c r="H180" i="18"/>
  <c r="O88" i="19"/>
  <c r="O90" i="19" s="1"/>
  <c r="J157" i="18"/>
  <c r="H169" i="18"/>
  <c r="G88" i="18"/>
  <c r="K72" i="18"/>
  <c r="G150" i="18"/>
  <c r="G41" i="18"/>
  <c r="H100" i="18"/>
  <c r="L86" i="18"/>
  <c r="L90" i="18" s="1"/>
  <c r="M86" i="18"/>
  <c r="M90" i="18" s="1"/>
  <c r="M106" i="18" s="1"/>
  <c r="M1" i="18" s="1"/>
  <c r="W44" i="11"/>
  <c r="AF27" i="11"/>
  <c r="AF30" i="11" s="1"/>
  <c r="AF35" i="11" s="1"/>
  <c r="AF44" i="11" s="1"/>
  <c r="D54" i="9"/>
  <c r="D73" i="9" s="1"/>
  <c r="D34" i="9"/>
  <c r="N295" i="12"/>
  <c r="G287" i="12"/>
  <c r="G295" i="12" s="1"/>
  <c r="J287" i="12"/>
  <c r="P97" i="12"/>
  <c r="T97" i="12" s="1"/>
  <c r="F287" i="12"/>
  <c r="F295" i="12" s="1"/>
  <c r="K287" i="12"/>
  <c r="B306" i="12"/>
  <c r="P96" i="12"/>
  <c r="T96" i="12" s="1"/>
  <c r="M287" i="12"/>
  <c r="M295" i="12" s="1"/>
  <c r="P283" i="12"/>
  <c r="T283" i="12" s="1"/>
  <c r="C207" i="18" s="1"/>
  <c r="E207" i="18" s="1"/>
  <c r="G207" i="18" s="1"/>
  <c r="P272" i="12"/>
  <c r="T272" i="12" s="1"/>
  <c r="P175" i="12"/>
  <c r="T175" i="12" s="1"/>
  <c r="U176" i="12" s="1"/>
  <c r="M125" i="12"/>
  <c r="M133" i="12" s="1"/>
  <c r="M134" i="12" s="1"/>
  <c r="B91" i="12"/>
  <c r="B134" i="12" s="1"/>
  <c r="T94" i="12"/>
  <c r="C70" i="18" s="1"/>
  <c r="E70" i="18" s="1"/>
  <c r="G70" i="18" s="1"/>
  <c r="K39" i="18" s="1"/>
  <c r="M221" i="17"/>
  <c r="M232" i="17" s="1"/>
  <c r="M253" i="17" s="1"/>
  <c r="M254" i="17" s="1"/>
  <c r="M257" i="17" s="1"/>
  <c r="N266" i="17"/>
  <c r="N277" i="17" s="1"/>
  <c r="N281" i="17" s="1"/>
  <c r="O270" i="17"/>
  <c r="O275" i="17" s="1"/>
  <c r="O252" i="17"/>
  <c r="O254" i="17" s="1"/>
  <c r="O257" i="17" s="1"/>
  <c r="N252" i="17"/>
  <c r="N278" i="17" s="1"/>
  <c r="N279" i="17" s="1"/>
  <c r="D224" i="17" s="1"/>
  <c r="D35" i="23"/>
  <c r="D37" i="23" s="1"/>
  <c r="R31" i="22"/>
  <c r="R32" i="22" s="1"/>
  <c r="E37" i="23"/>
  <c r="D39" i="23"/>
  <c r="U24" i="22"/>
  <c r="I34" i="23"/>
  <c r="P8" i="12"/>
  <c r="P91" i="12" s="1"/>
  <c r="F307" i="12"/>
  <c r="T122" i="12"/>
  <c r="F54" i="9"/>
  <c r="F73" i="9" s="1"/>
  <c r="F46" i="9"/>
  <c r="F34" i="9"/>
  <c r="T25" i="12"/>
  <c r="N134" i="12"/>
  <c r="O134" i="12"/>
  <c r="K295" i="12"/>
  <c r="J295" i="12"/>
  <c r="V295" i="12"/>
  <c r="V246" i="12"/>
  <c r="P139" i="12"/>
  <c r="T139" i="12" s="1"/>
  <c r="C127" i="18" s="1"/>
  <c r="B268" i="12"/>
  <c r="C287" i="12"/>
  <c r="C295" i="12" s="1"/>
  <c r="P281" i="12"/>
  <c r="T281" i="12" s="1"/>
  <c r="C202" i="18" s="1"/>
  <c r="D202" i="18" s="1"/>
  <c r="H202" i="18" s="1"/>
  <c r="D125" i="12"/>
  <c r="D133" i="12" s="1"/>
  <c r="D134" i="12" s="1"/>
  <c r="D295" i="12"/>
  <c r="T127" i="12"/>
  <c r="C114" i="18" s="1"/>
  <c r="E114" i="18" s="1"/>
  <c r="G114" i="18" s="1"/>
  <c r="P121" i="12"/>
  <c r="T121" i="12" s="1"/>
  <c r="B307" i="12"/>
  <c r="B287" i="12"/>
  <c r="E295" i="12"/>
  <c r="P108" i="12"/>
  <c r="T108" i="12" s="1"/>
  <c r="C99" i="18" s="1"/>
  <c r="C102" i="18" s="1"/>
  <c r="E102" i="18" s="1"/>
  <c r="G102" i="18" s="1"/>
  <c r="C54" i="18"/>
  <c r="E54" i="18" s="1"/>
  <c r="T289" i="12"/>
  <c r="C211" i="18" s="1"/>
  <c r="D211" i="18" s="1"/>
  <c r="H211" i="18" s="1"/>
  <c r="C172" i="18"/>
  <c r="AB135" i="12"/>
  <c r="I295" i="12"/>
  <c r="P319" i="12"/>
  <c r="V134" i="12"/>
  <c r="F12" i="24"/>
  <c r="F14" i="24" s="1"/>
  <c r="B27" i="24"/>
  <c r="B29" i="24" s="1"/>
  <c r="D29" i="24" s="1"/>
  <c r="R319" i="12"/>
  <c r="H12" i="24"/>
  <c r="H14" i="24" s="1"/>
  <c r="H27" i="24"/>
  <c r="B12" i="24"/>
  <c r="B14" i="24" s="1"/>
  <c r="F27" i="24"/>
  <c r="F29" i="24" s="1"/>
  <c r="H29" i="24" s="1"/>
  <c r="H295" i="12"/>
  <c r="E134" i="12"/>
  <c r="I134" i="12"/>
  <c r="C134" i="12"/>
  <c r="Z134" i="12" s="1"/>
  <c r="AB27" i="11"/>
  <c r="AB30" i="11" s="1"/>
  <c r="AB35" i="11" s="1"/>
  <c r="AB44" i="11" s="1"/>
  <c r="X8" i="11"/>
  <c r="P273" i="12"/>
  <c r="T273" i="12" s="1"/>
  <c r="C183" i="18" s="1"/>
  <c r="E183" i="18" s="1"/>
  <c r="G183" i="18" s="1"/>
  <c r="K43" i="18" s="1"/>
  <c r="P9" i="11"/>
  <c r="P27" i="11" s="1"/>
  <c r="P30" i="11" s="1"/>
  <c r="P35" i="11" s="1"/>
  <c r="P44" i="11" s="1"/>
  <c r="P306" i="12"/>
  <c r="X16" i="11"/>
  <c r="G57" i="11"/>
  <c r="G58" i="11" s="1"/>
  <c r="H52" i="11"/>
  <c r="H157" i="21"/>
  <c r="H165" i="21" s="1"/>
  <c r="H208" i="21" s="1"/>
  <c r="H209" i="21" s="1"/>
  <c r="H228" i="12"/>
  <c r="H246" i="12" s="1"/>
  <c r="V9" i="11"/>
  <c r="L295" i="12"/>
  <c r="H50" i="18"/>
  <c r="K91" i="12"/>
  <c r="K134" i="12" s="1"/>
  <c r="F134" i="12"/>
  <c r="D12" i="24"/>
  <c r="D14" i="24" s="1"/>
  <c r="L157" i="21"/>
  <c r="L165" i="21" s="1"/>
  <c r="L208" i="21" s="1"/>
  <c r="L209" i="21" s="1"/>
  <c r="AA27" i="11"/>
  <c r="AA30" i="11" s="1"/>
  <c r="AA35" i="11" s="1"/>
  <c r="AA44" i="11" s="1"/>
  <c r="Z27" i="11"/>
  <c r="X11" i="11"/>
  <c r="P80" i="21"/>
  <c r="P88" i="21" s="1"/>
  <c r="O278" i="17"/>
  <c r="D148" i="19"/>
  <c r="X43" i="11"/>
  <c r="F157" i="21"/>
  <c r="F165" i="21" s="1"/>
  <c r="F208" i="21" s="1"/>
  <c r="F228" i="12"/>
  <c r="F246" i="12" s="1"/>
  <c r="K157" i="21"/>
  <c r="K165" i="21" s="1"/>
  <c r="K208" i="21" s="1"/>
  <c r="K228" i="12"/>
  <c r="K246" i="12" s="1"/>
  <c r="AO27" i="11"/>
  <c r="AO30" i="11" s="1"/>
  <c r="AO35" i="11" s="1"/>
  <c r="AO44" i="11" s="1"/>
  <c r="T63" i="21"/>
  <c r="M157" i="21"/>
  <c r="M165" i="21" s="1"/>
  <c r="M208" i="21" s="1"/>
  <c r="M228" i="12"/>
  <c r="M246" i="12" s="1"/>
  <c r="I157" i="21"/>
  <c r="I165" i="21" s="1"/>
  <c r="I208" i="21" s="1"/>
  <c r="I209" i="21" s="1"/>
  <c r="I228" i="12"/>
  <c r="I246" i="12" s="1"/>
  <c r="C46" i="11"/>
  <c r="V47" i="11" s="1"/>
  <c r="C228" i="12"/>
  <c r="C246" i="12" s="1"/>
  <c r="C157" i="21"/>
  <c r="C165" i="21" s="1"/>
  <c r="N232" i="17"/>
  <c r="N253" i="17" s="1"/>
  <c r="N254" i="17" s="1"/>
  <c r="N257" i="17" s="1"/>
  <c r="M278" i="17"/>
  <c r="M279" i="17" s="1"/>
  <c r="J228" i="12"/>
  <c r="J246" i="12" s="1"/>
  <c r="J157" i="21"/>
  <c r="J165" i="21" s="1"/>
  <c r="J208" i="21" s="1"/>
  <c r="J209" i="21" s="1"/>
  <c r="D228" i="12"/>
  <c r="D157" i="21"/>
  <c r="D165" i="21" s="1"/>
  <c r="D208" i="21" s="1"/>
  <c r="D209" i="21" s="1"/>
  <c r="O157" i="21"/>
  <c r="O165" i="21" s="1"/>
  <c r="O228" i="12"/>
  <c r="O246" i="12" s="1"/>
  <c r="O296" i="12" s="1"/>
  <c r="E157" i="21"/>
  <c r="E165" i="21" s="1"/>
  <c r="E208" i="21" s="1"/>
  <c r="E209" i="21" s="1"/>
  <c r="E228" i="12"/>
  <c r="O277" i="17"/>
  <c r="B157" i="21"/>
  <c r="B228" i="12"/>
  <c r="G228" i="12"/>
  <c r="G246" i="12" s="1"/>
  <c r="G157" i="21"/>
  <c r="G165" i="21" s="1"/>
  <c r="G208" i="21" s="1"/>
  <c r="U29" i="22"/>
  <c r="U30" i="22" s="1"/>
  <c r="Y9" i="22"/>
  <c r="AE9" i="22"/>
  <c r="AE19" i="22" s="1"/>
  <c r="AE22" i="22" s="1"/>
  <c r="AE25" i="22" s="1"/>
  <c r="AE31" i="22" s="1"/>
  <c r="L134" i="12"/>
  <c r="G102" i="28"/>
  <c r="G106" i="28" s="1"/>
  <c r="B31" i="22"/>
  <c r="D107" i="28"/>
  <c r="D108" i="28" s="1"/>
  <c r="J134" i="12"/>
  <c r="S48" i="21"/>
  <c r="C31" i="24"/>
  <c r="C32" i="24" s="1"/>
  <c r="AG9" i="30"/>
  <c r="AJ9" i="30" s="1"/>
  <c r="AP9" i="30" s="1"/>
  <c r="AR9" i="30" s="1"/>
  <c r="AE16" i="30"/>
  <c r="AE34" i="30" s="1"/>
  <c r="AE37" i="30" s="1"/>
  <c r="AE42" i="30" s="1"/>
  <c r="AE48" i="30" s="1"/>
  <c r="AU34" i="30"/>
  <c r="AU37" i="30" s="1"/>
  <c r="AU42" i="30" s="1"/>
  <c r="H125" i="12"/>
  <c r="H133" i="12" s="1"/>
  <c r="H134" i="12" s="1"/>
  <c r="C199" i="21"/>
  <c r="C207" i="21" s="1"/>
  <c r="M80" i="21"/>
  <c r="M88" i="21" s="1"/>
  <c r="P64" i="21"/>
  <c r="T64" i="21" s="1"/>
  <c r="K89" i="21"/>
  <c r="H315" i="12"/>
  <c r="N3" i="28"/>
  <c r="P190" i="21"/>
  <c r="G13" i="20"/>
  <c r="T16" i="30"/>
  <c r="T34" i="30" s="1"/>
  <c r="T37" i="30" s="1"/>
  <c r="T42" i="30" s="1"/>
  <c r="T48" i="30" s="1"/>
  <c r="V7" i="30"/>
  <c r="P216" i="21"/>
  <c r="T197" i="21"/>
  <c r="L207" i="21"/>
  <c r="M59" i="21"/>
  <c r="M89" i="21" s="1"/>
  <c r="C59" i="21"/>
  <c r="C89" i="21" s="1"/>
  <c r="P8" i="21"/>
  <c r="I15" i="23"/>
  <c r="I19" i="23" s="1"/>
  <c r="F19" i="20"/>
  <c r="E34" i="30"/>
  <c r="E37" i="30" s="1"/>
  <c r="E42" i="30" s="1"/>
  <c r="E48" i="30" s="1"/>
  <c r="E50" i="30" s="1"/>
  <c r="G16" i="30"/>
  <c r="G34" i="30" s="1"/>
  <c r="G37" i="30" s="1"/>
  <c r="G42" i="30" s="1"/>
  <c r="G48" i="30" s="1"/>
  <c r="M16" i="30"/>
  <c r="M34" i="30" s="1"/>
  <c r="M37" i="30" s="1"/>
  <c r="M42" i="30" s="1"/>
  <c r="M48" i="30" s="1"/>
  <c r="B315" i="12"/>
  <c r="R44" i="11"/>
  <c r="B199" i="21"/>
  <c r="B207" i="21" s="1"/>
  <c r="G83" i="28" l="1"/>
  <c r="G86" i="28" s="1"/>
  <c r="G107" i="28" s="1"/>
  <c r="G108" i="28" s="1"/>
  <c r="G35" i="28"/>
  <c r="O208" i="21"/>
  <c r="O209" i="21" s="1"/>
  <c r="N228" i="12"/>
  <c r="N246" i="12" s="1"/>
  <c r="N296" i="12" s="1"/>
  <c r="N297" i="12" s="1"/>
  <c r="C174" i="18"/>
  <c r="AF15" i="29"/>
  <c r="Y15" i="29"/>
  <c r="U8" i="22"/>
  <c r="U9" i="22" s="1"/>
  <c r="U19" i="22" s="1"/>
  <c r="U22" i="22" s="1"/>
  <c r="P9" i="22"/>
  <c r="P19" i="22" s="1"/>
  <c r="P22" i="22" s="1"/>
  <c r="P25" i="22" s="1"/>
  <c r="P31" i="22" s="1"/>
  <c r="E2" i="28"/>
  <c r="AA22" i="22"/>
  <c r="AA25" i="22" s="1"/>
  <c r="AA31" i="22" s="1"/>
  <c r="AJ24" i="30"/>
  <c r="AP24" i="30" s="1"/>
  <c r="AR24" i="30" s="1"/>
  <c r="X7" i="11"/>
  <c r="P268" i="12"/>
  <c r="V209" i="21"/>
  <c r="AF9" i="29"/>
  <c r="W21" i="29"/>
  <c r="AB27" i="27"/>
  <c r="S33" i="27"/>
  <c r="L106" i="18"/>
  <c r="L1" i="18" s="1"/>
  <c r="K88" i="18"/>
  <c r="L108" i="18" s="1"/>
  <c r="C74" i="18"/>
  <c r="D74" i="18" s="1"/>
  <c r="H74" i="18" s="1"/>
  <c r="D27" i="10"/>
  <c r="D29" i="10" s="1"/>
  <c r="F29" i="10"/>
  <c r="D76" i="19"/>
  <c r="D94" i="19" s="1"/>
  <c r="D3" i="19" s="1"/>
  <c r="D2" i="19" s="1"/>
  <c r="J158" i="18"/>
  <c r="D56" i="9"/>
  <c r="T8" i="12"/>
  <c r="C8" i="18" s="1"/>
  <c r="K296" i="12"/>
  <c r="U25" i="22"/>
  <c r="U31" i="22" s="1"/>
  <c r="U33" i="22" s="1"/>
  <c r="U35" i="22" s="1"/>
  <c r="D38" i="23"/>
  <c r="J296" i="12"/>
  <c r="J297" i="12" s="1"/>
  <c r="E299" i="12"/>
  <c r="F296" i="12"/>
  <c r="F297" i="12" s="1"/>
  <c r="F299" i="12"/>
  <c r="C296" i="12"/>
  <c r="C297" i="12" s="1"/>
  <c r="I296" i="12"/>
  <c r="I297" i="12" s="1"/>
  <c r="F56" i="9"/>
  <c r="H73" i="9"/>
  <c r="G296" i="12"/>
  <c r="G297" i="12" s="1"/>
  <c r="M296" i="12"/>
  <c r="M297" i="12" s="1"/>
  <c r="C110" i="18"/>
  <c r="E110" i="18" s="1"/>
  <c r="G110" i="18" s="1"/>
  <c r="D299" i="12"/>
  <c r="V296" i="12"/>
  <c r="V297" i="12" s="1"/>
  <c r="O297" i="12"/>
  <c r="B295" i="12"/>
  <c r="U140" i="12"/>
  <c r="T268" i="12"/>
  <c r="H296" i="12"/>
  <c r="H297" i="12" s="1"/>
  <c r="D33" i="24"/>
  <c r="P125" i="12"/>
  <c r="P133" i="12" s="1"/>
  <c r="P134" i="12" s="1"/>
  <c r="B33" i="24"/>
  <c r="P315" i="12"/>
  <c r="P316" i="12" s="1"/>
  <c r="L296" i="12"/>
  <c r="L297" i="12" s="1"/>
  <c r="P298" i="12"/>
  <c r="T319" i="12"/>
  <c r="K94" i="18"/>
  <c r="K96" i="18" s="1"/>
  <c r="K100" i="18" s="1"/>
  <c r="K104" i="18" s="1"/>
  <c r="H33" i="24"/>
  <c r="Y134" i="12"/>
  <c r="Y136" i="12" s="1"/>
  <c r="F33" i="24"/>
  <c r="P287" i="12"/>
  <c r="P295" i="12" s="1"/>
  <c r="Y27" i="11"/>
  <c r="Y30" i="11" s="1"/>
  <c r="Y35" i="11" s="1"/>
  <c r="Y44" i="11" s="1"/>
  <c r="M209" i="21"/>
  <c r="C209" i="18"/>
  <c r="C214" i="18" s="1"/>
  <c r="T287" i="12"/>
  <c r="K297" i="12"/>
  <c r="T91" i="12"/>
  <c r="K209" i="21"/>
  <c r="F209" i="21"/>
  <c r="Z30" i="11"/>
  <c r="Z35" i="11" s="1"/>
  <c r="R157" i="21"/>
  <c r="R208" i="21" s="1"/>
  <c r="R210" i="21" s="1"/>
  <c r="R3" i="21" s="1"/>
  <c r="T190" i="21"/>
  <c r="T199" i="21" s="1"/>
  <c r="T207" i="21" s="1"/>
  <c r="P199" i="21"/>
  <c r="P207" i="21" s="1"/>
  <c r="AA134" i="12"/>
  <c r="B246" i="12"/>
  <c r="C208" i="21"/>
  <c r="C209" i="21" s="1"/>
  <c r="V16" i="30"/>
  <c r="V34" i="30" s="1"/>
  <c r="V37" i="30" s="1"/>
  <c r="V42" i="30" s="1"/>
  <c r="V48" i="30" s="1"/>
  <c r="AJ7" i="30"/>
  <c r="AB91" i="21"/>
  <c r="S208" i="21"/>
  <c r="T35" i="21"/>
  <c r="X134" i="12"/>
  <c r="W9" i="22"/>
  <c r="Y19" i="22"/>
  <c r="O281" i="17"/>
  <c r="O279" i="17"/>
  <c r="D225" i="17" s="1"/>
  <c r="E226" i="17" s="1"/>
  <c r="D246" i="12"/>
  <c r="D296" i="12" s="1"/>
  <c r="D297" i="12" s="1"/>
  <c r="B19" i="24"/>
  <c r="F25" i="20"/>
  <c r="G22" i="20"/>
  <c r="I22" i="20"/>
  <c r="I25" i="20" s="1"/>
  <c r="I31" i="20" s="1"/>
  <c r="B165" i="21"/>
  <c r="B208" i="21" s="1"/>
  <c r="B209" i="21" s="1"/>
  <c r="P157" i="21"/>
  <c r="G54" i="18"/>
  <c r="T8" i="21"/>
  <c r="P59" i="21"/>
  <c r="P89" i="21" s="1"/>
  <c r="AG16" i="30"/>
  <c r="AG34" i="30" s="1"/>
  <c r="AG37" i="30" s="1"/>
  <c r="AG42" i="30" s="1"/>
  <c r="AG48" i="30" s="1"/>
  <c r="G209" i="21"/>
  <c r="X89" i="21"/>
  <c r="Y89" i="21"/>
  <c r="Y91" i="21" s="1"/>
  <c r="F19" i="24"/>
  <c r="E246" i="12"/>
  <c r="E296" i="12" s="1"/>
  <c r="E297" i="12" s="1"/>
  <c r="T80" i="21"/>
  <c r="T88" i="21" s="1"/>
  <c r="D2" i="17"/>
  <c r="Z89" i="21"/>
  <c r="P231" i="21"/>
  <c r="P218" i="21"/>
  <c r="AB33" i="27" l="1"/>
  <c r="U33" i="27"/>
  <c r="S39" i="27"/>
  <c r="P228" i="12"/>
  <c r="P246" i="12" s="1"/>
  <c r="P296" i="12" s="1"/>
  <c r="P297" i="12" s="1"/>
  <c r="P4" i="12" s="1"/>
  <c r="W27" i="29"/>
  <c r="AF21" i="29"/>
  <c r="K81" i="18"/>
  <c r="K84" i="18" s="1"/>
  <c r="P320" i="12"/>
  <c r="T320" i="12" s="1"/>
  <c r="T321" i="12" s="1"/>
  <c r="B296" i="12"/>
  <c r="B297" i="12" s="1"/>
  <c r="T295" i="12"/>
  <c r="V2" i="12"/>
  <c r="X27" i="11"/>
  <c r="E8" i="18"/>
  <c r="G8" i="18" s="1"/>
  <c r="C66" i="18"/>
  <c r="X30" i="11"/>
  <c r="X35" i="11"/>
  <c r="Z44" i="11"/>
  <c r="X44" i="11" s="1"/>
  <c r="R35" i="11"/>
  <c r="R228" i="12" s="1"/>
  <c r="V16" i="11"/>
  <c r="V27" i="11" s="1"/>
  <c r="V30" i="11" s="1"/>
  <c r="X46" i="11"/>
  <c r="AB134" i="12"/>
  <c r="X136" i="12"/>
  <c r="AC91" i="21"/>
  <c r="AB93" i="21"/>
  <c r="K40" i="18"/>
  <c r="E2" i="17"/>
  <c r="F1" i="17" s="1"/>
  <c r="F21" i="24"/>
  <c r="F31" i="24" s="1"/>
  <c r="F32" i="24" s="1"/>
  <c r="H19" i="24"/>
  <c r="H21" i="24" s="1"/>
  <c r="H31" i="24" s="1"/>
  <c r="H32" i="24" s="1"/>
  <c r="G25" i="20"/>
  <c r="G29" i="20"/>
  <c r="F36" i="20"/>
  <c r="D19" i="24"/>
  <c r="D21" i="24" s="1"/>
  <c r="D31" i="24" s="1"/>
  <c r="D32" i="24" s="1"/>
  <c r="B21" i="24"/>
  <c r="B31" i="24" s="1"/>
  <c r="B32" i="24" s="1"/>
  <c r="AP7" i="30"/>
  <c r="AJ16" i="30"/>
  <c r="AJ34" i="30" s="1"/>
  <c r="AJ37" i="30" s="1"/>
  <c r="AJ42" i="30" s="1"/>
  <c r="AJ48" i="30" s="1"/>
  <c r="P165" i="21"/>
  <c r="P208" i="21" s="1"/>
  <c r="P209" i="21" s="1"/>
  <c r="T157" i="21"/>
  <c r="T165" i="21" s="1"/>
  <c r="T208" i="21" s="1"/>
  <c r="Y22" i="22"/>
  <c r="W19" i="22"/>
  <c r="P233" i="21"/>
  <c r="T231" i="21"/>
  <c r="T233" i="21" s="1"/>
  <c r="X91" i="21"/>
  <c r="AB89" i="21"/>
  <c r="AB92" i="21" s="1"/>
  <c r="T59" i="21"/>
  <c r="T89" i="21" s="1"/>
  <c r="P321" i="12" l="1"/>
  <c r="AF27" i="29"/>
  <c r="W33" i="29"/>
  <c r="X50" i="11"/>
  <c r="Y25" i="22"/>
  <c r="W22" i="22"/>
  <c r="AB136" i="12"/>
  <c r="AB137" i="12" s="1"/>
  <c r="AB138" i="12" s="1"/>
  <c r="AR7" i="30"/>
  <c r="AR16" i="30" s="1"/>
  <c r="AR34" i="30" s="1"/>
  <c r="AR37" i="30" s="1"/>
  <c r="AR42" i="30" s="1"/>
  <c r="AP16" i="30"/>
  <c r="AP34" i="30" s="1"/>
  <c r="AP37" i="30" s="1"/>
  <c r="AP42" i="30" s="1"/>
  <c r="AP48" i="30" s="1"/>
  <c r="AP50" i="30" s="1"/>
  <c r="AP52" i="30" s="1"/>
  <c r="K6" i="18"/>
  <c r="V35" i="11"/>
  <c r="T209" i="21"/>
  <c r="T3" i="21"/>
  <c r="R45" i="11"/>
  <c r="W39" i="29" l="1"/>
  <c r="AF33" i="29"/>
  <c r="Y33" i="29"/>
  <c r="AB155" i="12"/>
  <c r="AB140" i="12"/>
  <c r="T228" i="12"/>
  <c r="R296" i="12"/>
  <c r="V46" i="11"/>
  <c r="V48" i="11" s="1"/>
  <c r="V44" i="11"/>
  <c r="C104" i="18"/>
  <c r="T125" i="12"/>
  <c r="T133" i="12" s="1"/>
  <c r="T134" i="12" s="1"/>
  <c r="Y31" i="22"/>
  <c r="W31" i="22" s="1"/>
  <c r="W34" i="22" s="1"/>
  <c r="W25" i="22"/>
  <c r="D104" i="18" l="1"/>
  <c r="C112" i="18"/>
  <c r="C121" i="18" s="1"/>
  <c r="C122" i="18" s="1"/>
  <c r="C135" i="18"/>
  <c r="H104" i="18" l="1"/>
  <c r="D215" i="18"/>
  <c r="E135" i="18"/>
  <c r="G135" i="18" s="1"/>
  <c r="K38" i="18" l="1"/>
  <c r="H215" i="18"/>
  <c r="K9" i="18" l="1"/>
  <c r="K36" i="18" l="1"/>
  <c r="K46" i="18" s="1"/>
  <c r="K52" i="18" s="1"/>
  <c r="K86" i="18" s="1"/>
  <c r="K90" i="18" s="1"/>
  <c r="K2" i="18"/>
  <c r="K106" i="18" l="1"/>
  <c r="K1" i="18" s="1"/>
  <c r="K107" i="18"/>
  <c r="E194" i="33"/>
  <c r="E195" i="33" s="1"/>
  <c r="S296" i="12"/>
  <c r="R298" i="12" s="1"/>
  <c r="R3" i="12" s="1"/>
  <c r="T246" i="12"/>
  <c r="T296" i="12" s="1"/>
  <c r="T3" i="12" l="1"/>
  <c r="T297" i="12"/>
  <c r="C132" i="18"/>
  <c r="E132" i="18" l="1"/>
  <c r="C156" i="18"/>
  <c r="C215" i="18" s="1"/>
  <c r="C216" i="18" s="1"/>
  <c r="C1" i="18" s="1"/>
  <c r="E215" i="18" l="1"/>
  <c r="D1" i="18" s="1"/>
  <c r="G132" i="18"/>
  <c r="G215" i="18" s="1"/>
  <c r="G1" i="18" s="1"/>
</calcChain>
</file>

<file path=xl/comments1.xml><?xml version="1.0" encoding="utf-8"?>
<comments xmlns="http://schemas.openxmlformats.org/spreadsheetml/2006/main">
  <authors>
    <author>Hardie</author>
  </authors>
  <commentList>
    <comment ref="U10" authorId="0" shapeId="0">
      <text>
        <r>
          <rPr>
            <sz val="8"/>
            <color indexed="81"/>
            <rFont val="Tahoma"/>
            <family val="2"/>
          </rPr>
          <t>Dealer bonus claim from other income</t>
        </r>
      </text>
    </comment>
    <comment ref="R29" authorId="0" shapeId="0">
      <text>
        <r>
          <rPr>
            <sz val="8"/>
            <color indexed="81"/>
            <rFont val="Tahoma"/>
            <family val="2"/>
          </rPr>
          <t>Bank charges from Finance cost</t>
        </r>
      </text>
    </comment>
  </commentList>
</comments>
</file>

<file path=xl/sharedStrings.xml><?xml version="1.0" encoding="utf-8"?>
<sst xmlns="http://schemas.openxmlformats.org/spreadsheetml/2006/main" count="3041" uniqueCount="1356">
  <si>
    <t xml:space="preserve"> </t>
  </si>
  <si>
    <t>RM'000</t>
  </si>
  <si>
    <t>PERMAJU INDUSTRIES BERHAD</t>
  </si>
  <si>
    <t>Finance costs</t>
  </si>
  <si>
    <t>Share</t>
  </si>
  <si>
    <t xml:space="preserve">Share </t>
  </si>
  <si>
    <t>Retained</t>
  </si>
  <si>
    <t>Total</t>
  </si>
  <si>
    <t>Property, plant and equipment</t>
  </si>
  <si>
    <t xml:space="preserve">Inventories </t>
  </si>
  <si>
    <t>Trade receivables</t>
  </si>
  <si>
    <t>Other receivables</t>
  </si>
  <si>
    <t>Trade payables</t>
  </si>
  <si>
    <t>Other payables</t>
  </si>
  <si>
    <t>Share capital</t>
  </si>
  <si>
    <t>Reserves</t>
  </si>
  <si>
    <t>Cash and bank balances</t>
  </si>
  <si>
    <t>Note</t>
  </si>
  <si>
    <t>Borrowings</t>
  </si>
  <si>
    <t>Log purchasing rights</t>
  </si>
  <si>
    <t>Tax payable</t>
  </si>
  <si>
    <t>Negative goodwill</t>
  </si>
  <si>
    <t>Deferred tax liabilities</t>
  </si>
  <si>
    <t>Non - current liabilities</t>
  </si>
  <si>
    <t>TOTAL</t>
  </si>
  <si>
    <t>Share premium</t>
  </si>
  <si>
    <t>ADJUSTMENTS</t>
  </si>
  <si>
    <t>Revenue</t>
  </si>
  <si>
    <t>Cost of sales</t>
  </si>
  <si>
    <t>Other income</t>
  </si>
  <si>
    <t>Administrative expenses</t>
  </si>
  <si>
    <t>Adjustments</t>
  </si>
  <si>
    <t>Tax recoverable</t>
  </si>
  <si>
    <t>ASSETS</t>
  </si>
  <si>
    <t>Investments properties</t>
  </si>
  <si>
    <t>Prepaid lease payment</t>
  </si>
  <si>
    <t>Short term investment</t>
  </si>
  <si>
    <t>EQUITY AND LIABILITIES</t>
  </si>
  <si>
    <t>TOTAL ASSETS</t>
  </si>
  <si>
    <t>Retained earnings</t>
  </si>
  <si>
    <t>Current assets</t>
  </si>
  <si>
    <t>Total equity</t>
  </si>
  <si>
    <t>Non - current assets</t>
  </si>
  <si>
    <t>Current liabilities</t>
  </si>
  <si>
    <t>Total liabilities</t>
  </si>
  <si>
    <t>TOTAL EQUITY AND LIABILITIES</t>
  </si>
  <si>
    <t>Continuing Operations</t>
  </si>
  <si>
    <t>Selling and marketing expenses</t>
  </si>
  <si>
    <t>Gross profit</t>
  </si>
  <si>
    <t>Discontinued Operations</t>
  </si>
  <si>
    <t>(Loss) / profit for the period from</t>
  </si>
  <si>
    <t>a discontinued operations</t>
  </si>
  <si>
    <t>Attributable to :</t>
  </si>
  <si>
    <t>Equity holders of the parent</t>
  </si>
  <si>
    <t>Minority interest</t>
  </si>
  <si>
    <t>Earnings per share attributable</t>
  </si>
  <si>
    <t>to equity holders of the parent :</t>
  </si>
  <si>
    <t>of the parent</t>
  </si>
  <si>
    <t>Equity attributable to equity holders</t>
  </si>
  <si>
    <t>Distributable</t>
  </si>
  <si>
    <t>Premium</t>
  </si>
  <si>
    <t>Capital</t>
  </si>
  <si>
    <t>Other</t>
  </si>
  <si>
    <t>Earnings</t>
  </si>
  <si>
    <t>Investment in Sub. Cos</t>
  </si>
  <si>
    <t>Inter Cos</t>
  </si>
  <si>
    <t>Profit / (loss) before tax</t>
  </si>
  <si>
    <t>Profit / (loss) for the period</t>
  </si>
  <si>
    <t>Investment properties</t>
  </si>
  <si>
    <t>Intangible assets</t>
  </si>
  <si>
    <t>Timber concession rights</t>
  </si>
  <si>
    <t>Treasury shares</t>
  </si>
  <si>
    <t>Treasury</t>
  </si>
  <si>
    <t>Shares</t>
  </si>
  <si>
    <t>Purchase of treasury shares</t>
  </si>
  <si>
    <t>Basic, for profit/(loss) from continuing operations</t>
  </si>
  <si>
    <t>Basic, for profit/(loss) for the period</t>
  </si>
  <si>
    <t>Trade and other receivables</t>
  </si>
  <si>
    <t>Trade &amp; other payables</t>
  </si>
  <si>
    <t>(Unaudited)</t>
  </si>
  <si>
    <t>(Audited)</t>
  </si>
  <si>
    <t>of the Company</t>
  </si>
  <si>
    <t>CONDENSED CONSOLIDATED STATEMENTS OF CHANGES IN EQUITY</t>
  </si>
  <si>
    <t>Preceding Year</t>
  </si>
  <si>
    <t>Corresponding</t>
  </si>
  <si>
    <t>Quarter</t>
  </si>
  <si>
    <t>To-Date</t>
  </si>
  <si>
    <t>Period</t>
  </si>
  <si>
    <t>Cumulative Period</t>
  </si>
  <si>
    <t>Current Year</t>
  </si>
  <si>
    <t>Loan receivable</t>
  </si>
  <si>
    <t>Assets of disposal group/</t>
  </si>
  <si>
    <t>Non-current assets classified as held for sale</t>
  </si>
  <si>
    <t>Liabilities directly associated</t>
  </si>
  <si>
    <t>with assets classified as held for sale</t>
  </si>
  <si>
    <t>Prepaid land lease payments</t>
  </si>
  <si>
    <t>Amortisation of investment properties</t>
  </si>
  <si>
    <t>Cash flows from operating activities</t>
  </si>
  <si>
    <t>Adjustments for :</t>
  </si>
  <si>
    <t>Depreciation of property, plant and equipment</t>
  </si>
  <si>
    <t>Interest income</t>
  </si>
  <si>
    <t>Interest paid</t>
  </si>
  <si>
    <t>Cash flows from investing activities</t>
  </si>
  <si>
    <t>Purchase of property, plant and equipment</t>
  </si>
  <si>
    <t>Interest received</t>
  </si>
  <si>
    <t>Cash flows from financing activities</t>
  </si>
  <si>
    <t>Operating profit / (loss)</t>
  </si>
  <si>
    <t>Income tax</t>
  </si>
  <si>
    <t>As at</t>
  </si>
  <si>
    <t>Cash and cash equivalents at the end of the financial period comprise the following :</t>
  </si>
  <si>
    <t>Marketable securities</t>
  </si>
  <si>
    <t>Capital redemption reserves</t>
  </si>
  <si>
    <t>Dividend income</t>
  </si>
  <si>
    <t>Dividend received</t>
  </si>
  <si>
    <t>-------------- Non-Distributable --------------</t>
  </si>
  <si>
    <t>Redemption</t>
  </si>
  <si>
    <t>(INCORPORATED IN MALAYSIA) Company No. 379057-V</t>
  </si>
  <si>
    <t>Net asset per share - RM</t>
  </si>
  <si>
    <t>Income tax refunded</t>
  </si>
  <si>
    <t>Proceeds from disposal of property, plant and equipment</t>
  </si>
  <si>
    <t>Biological assets</t>
  </si>
  <si>
    <t>Purchase of biological assets</t>
  </si>
  <si>
    <t>Repayment of hire purchase financing</t>
  </si>
  <si>
    <t>CONDENSED CONSOLIDATED STATEMENTS OF FINANCIAL POSITION</t>
  </si>
  <si>
    <t>CONDENSED CONSOLIDATED STATEMENTS OF COMPREHENSIVE INCOME</t>
  </si>
  <si>
    <t>CONDENSED CONSOLIDATED STATEMENTS OF CASH FLOWS</t>
  </si>
  <si>
    <t>Repayment from loan debtor</t>
  </si>
  <si>
    <t>Net cash used in investing activities</t>
  </si>
  <si>
    <t>Bank overdrafts</t>
  </si>
  <si>
    <t>Cash and cash equivalents at beginning of financial period</t>
  </si>
  <si>
    <t>Cash and cash equivalents at end of financial period</t>
  </si>
  <si>
    <t>Other comprehensive income</t>
  </si>
  <si>
    <t>for the period</t>
  </si>
  <si>
    <t>attributed to</t>
  </si>
  <si>
    <t>for the period, net of tax</t>
  </si>
  <si>
    <t>Capital redemption reserve</t>
  </si>
  <si>
    <t>Accumulated losses</t>
  </si>
  <si>
    <t>Loss before tax</t>
  </si>
  <si>
    <t>Operating loss before working capital changes</t>
  </si>
  <si>
    <t>Refund of cost of timber concession rights</t>
  </si>
  <si>
    <t>Individual Quarter</t>
  </si>
  <si>
    <t>As at end of</t>
  </si>
  <si>
    <t>financial period</t>
  </si>
  <si>
    <t>As at preceding</t>
  </si>
  <si>
    <t>Permaju</t>
  </si>
  <si>
    <t>FookNgiap</t>
  </si>
  <si>
    <t>Silinponpon</t>
  </si>
  <si>
    <t>Rintisan</t>
  </si>
  <si>
    <t>Cergazam</t>
  </si>
  <si>
    <t>CergazAuto</t>
  </si>
  <si>
    <t>TP Auto</t>
  </si>
  <si>
    <t>TeamJaps</t>
  </si>
  <si>
    <t>Genbayu</t>
  </si>
  <si>
    <t>Hasil</t>
  </si>
  <si>
    <t>Irama</t>
  </si>
  <si>
    <t>Intertrade</t>
  </si>
  <si>
    <t>Iconworld</t>
  </si>
  <si>
    <t>Autoworld</t>
  </si>
  <si>
    <t>DR</t>
  </si>
  <si>
    <t>CR</t>
  </si>
  <si>
    <t>Pangkal Berseri</t>
  </si>
  <si>
    <t>Rich Forte</t>
  </si>
  <si>
    <t>Jernih Kembang</t>
  </si>
  <si>
    <t>Reliance Pact</t>
  </si>
  <si>
    <t>Bidang Laksana</t>
  </si>
  <si>
    <t>Permaju Industries Berhad</t>
  </si>
  <si>
    <t>Consolidation - Permanent Adjustments</t>
  </si>
  <si>
    <t>Share capital of subsidiary companies</t>
  </si>
  <si>
    <t xml:space="preserve">     Fook Ngiap Sawmill Sdn Bhd</t>
  </si>
  <si>
    <t xml:space="preserve">     Reserves - Merger relief reserve</t>
  </si>
  <si>
    <t>Investment in subsidiary companies</t>
  </si>
  <si>
    <t>Being the elimination of cost of investment in the Group accounts</t>
  </si>
  <si>
    <t>Revaluation reserve</t>
  </si>
  <si>
    <t>Retained profits</t>
  </si>
  <si>
    <t>Deferred taxation</t>
  </si>
  <si>
    <t>Being acquisition of Rintisan Bumi (M) Sdn Bhd</t>
  </si>
  <si>
    <t xml:space="preserve">     Cergazam Sdn Bhd</t>
  </si>
  <si>
    <t xml:space="preserve">     Hasil Irama Sdn Bhd</t>
  </si>
  <si>
    <t xml:space="preserve">     Iconworld Resources Sdn Bhd</t>
  </si>
  <si>
    <t xml:space="preserve">     Capital Intertrade Sdn Bhd</t>
  </si>
  <si>
    <t>Retained profits (Rintisan)</t>
  </si>
  <si>
    <t>Being amortisation of log purchasing rights, negative goodwill and related account in FY2004</t>
  </si>
  <si>
    <t>Being impairment loss provided in respect of log purchasing rights</t>
  </si>
  <si>
    <t>Being deferred tax in relation to impairment of log purchasing rights</t>
  </si>
  <si>
    <t>Deferred tax liabilties</t>
  </si>
  <si>
    <t>B/S - Log purchasing rights</t>
  </si>
  <si>
    <t>Being amortisation of log purchasing rights, negative goodwill and related accounts in FY 2005</t>
  </si>
  <si>
    <t>Being amortisation of log purchasing rights, negative goodwill and related accounts in FY 2006</t>
  </si>
  <si>
    <t>Being reversal of negative goodwill due to adopting of FRS 3</t>
  </si>
  <si>
    <t>Revaluation surplus reserve</t>
  </si>
  <si>
    <t>Being reversal of realisation of revaluation surplus - Fook Ngiap Sawmill Sdn Bhd</t>
  </si>
  <si>
    <t>Accumulated depreciation</t>
  </si>
  <si>
    <t>Being investment properties stated at valuation model - RBSB</t>
  </si>
  <si>
    <t>Being property, plant and equipment stated at valuation model - RBSB</t>
  </si>
  <si>
    <t>Accumulated amortisation</t>
  </si>
  <si>
    <t>Being prepaid lease payments stated at valuation model - RBSB</t>
  </si>
  <si>
    <t>Being effect of investment properties, PPE and prepaid lease payments stated at valuation model - RBSB</t>
  </si>
  <si>
    <t>Assets revaluaiton reserve</t>
  </si>
  <si>
    <t>Being investment properties stated at valuation model - SSB</t>
  </si>
  <si>
    <t>Being provision for impairment loss overstated in consolidation accounts - SSB</t>
  </si>
  <si>
    <t>Property, plant and equipment (Buildings) - Cost</t>
  </si>
  <si>
    <t>Accumulated depreciation b/f (Buildings)</t>
  </si>
  <si>
    <t>Assets revaluation reserve</t>
  </si>
  <si>
    <t>Being PPE stated at valuation model - FNS</t>
  </si>
  <si>
    <t>Prepaid Land Lease Payments</t>
  </si>
  <si>
    <t>Being prepaid land lease payments stated at valuation model - FNS</t>
  </si>
  <si>
    <t>Deferred tax assets</t>
  </si>
  <si>
    <t>Being effect of PPE and PLLP stated at valuation model - FNS</t>
  </si>
  <si>
    <t>Being PPE and PLLP stated at valuation model - FNS</t>
  </si>
  <si>
    <t>Being reversal of assets revaluation reserve upon amortisation of revalued assets - FNS</t>
  </si>
  <si>
    <t>Being reversal of impairment loss provided in subsidiary company - Sg Silinponpon (Blockboard) S/B</t>
  </si>
  <si>
    <t>Being reversal of provision for impairment loss</t>
  </si>
  <si>
    <t>Being amortisation of log purchasing rights taken up</t>
  </si>
  <si>
    <t>Provision for impairment of log purchasing right</t>
  </si>
  <si>
    <t>Being provision for impairment of log pruchasing right taken up</t>
  </si>
  <si>
    <t>Being adjustment for taxation on amortisation of log purchasing right</t>
  </si>
  <si>
    <t>Impairment loss (retained profits)</t>
  </si>
  <si>
    <t>Being impairment loss on property, plant and equipment</t>
  </si>
  <si>
    <t xml:space="preserve">     Cergazam Autoworld Sdn Bhd</t>
  </si>
  <si>
    <t xml:space="preserve">     TP Auto Sdn Bhd</t>
  </si>
  <si>
    <t>Being adjustment for elimination of cost of investment in the Group account</t>
  </si>
  <si>
    <t>Being reversal of impairment  on investment in subsidiary companies</t>
  </si>
  <si>
    <t>Being adjustment for disposal of Fook Ngiap Shipping subsidiary company</t>
  </si>
  <si>
    <t xml:space="preserve">     Genbayu Gemilang Sdn Bhd</t>
  </si>
  <si>
    <t>Being reclassification of Pangkal Berseri Sdn Bhd and Rich Forte Sdn Bhd paid up share capital</t>
  </si>
  <si>
    <t>P1</t>
  </si>
  <si>
    <t>Merger relief reserves</t>
  </si>
  <si>
    <t>P2</t>
  </si>
  <si>
    <t>P3</t>
  </si>
  <si>
    <t>P4</t>
  </si>
  <si>
    <t>P5</t>
  </si>
  <si>
    <t>P6</t>
  </si>
  <si>
    <t>P7</t>
  </si>
  <si>
    <t>P8</t>
  </si>
  <si>
    <t>P9</t>
  </si>
  <si>
    <t>P10</t>
  </si>
  <si>
    <t>P11</t>
  </si>
  <si>
    <t>Investment properties - Accumulated depreciation</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</si>
  <si>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</si>
  <si>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</si>
  <si>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</si>
  <si>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</si>
  <si>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</si>
  <si>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</si>
  <si>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</si>
  <si>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</si>
  <si>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</si>
  <si>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</si>
  <si>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</si>
  <si>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</si>
  <si>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</si>
  <si>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</si>
  <si>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</si>
  <si>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</si>
  <si>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</si>
  <si>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</si>
  <si>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</si>
  <si>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</si>
  <si>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</si>
  <si>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</si>
  <si>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</si>
  <si>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Current adjustments</t>
  </si>
  <si>
    <t>INCOME STATEMENT</t>
  </si>
  <si>
    <t>BALANCE SHEET</t>
  </si>
  <si>
    <t>Inter-co balances (Assets)</t>
  </si>
  <si>
    <t>Inter-co balances (Liabilities)</t>
  </si>
  <si>
    <t>Being to eliminate inter-co balances during the year</t>
  </si>
  <si>
    <t>Being reversal of impairment on imvestment in subsidiary companies during the year</t>
  </si>
  <si>
    <t xml:space="preserve">     Cergaz Autohouse Sdn Bhd</t>
  </si>
  <si>
    <t>Being adjustment for elimination of cost of investment in the Group accounts</t>
  </si>
  <si>
    <t xml:space="preserve">     Team Japs Sdn Bhd</t>
  </si>
  <si>
    <t>Being reclassification of Jernih Kembang, Reliance Pact and Bidang Laksana paid up share capital</t>
  </si>
  <si>
    <t>Tax payables</t>
  </si>
  <si>
    <t>Being reclassification of account</t>
  </si>
  <si>
    <t>P35</t>
  </si>
  <si>
    <t>P36</t>
  </si>
  <si>
    <t>P37</t>
  </si>
  <si>
    <t>P38</t>
  </si>
  <si>
    <t>Trade and other payables</t>
  </si>
  <si>
    <t>Other receivable</t>
  </si>
  <si>
    <t>CHANGES</t>
  </si>
  <si>
    <t>Statement of cash flows</t>
  </si>
  <si>
    <t>Adjustments for:</t>
  </si>
  <si>
    <t xml:space="preserve">     Amortisation of investment properties</t>
  </si>
  <si>
    <t xml:space="preserve">     Loss on disposal of property, plant and equipment</t>
  </si>
  <si>
    <t xml:space="preserve">     Depreciation of property, plant and equipment</t>
  </si>
  <si>
    <t xml:space="preserve">     Provision for impairment loss of investment in subsidiary</t>
  </si>
  <si>
    <t xml:space="preserve">     Finance cost</t>
  </si>
  <si>
    <t xml:space="preserve">     Interest income</t>
  </si>
  <si>
    <t xml:space="preserve">     Dividend income</t>
  </si>
  <si>
    <t>(Increase)/decrease in inventories</t>
  </si>
  <si>
    <t>Cash (used in)/generated from operations</t>
  </si>
  <si>
    <t>Net cash (used in)/ generated from operating activities</t>
  </si>
  <si>
    <t>Acquisition of subsidiaries</t>
  </si>
  <si>
    <t>Increase in investment in subsidiaries</t>
  </si>
  <si>
    <t>Additions of tree plantation expenditures</t>
  </si>
  <si>
    <t>Net cash generated from/(used in) financing activities</t>
  </si>
  <si>
    <t>Net (decrease)/increase in cash and cash equivalents</t>
  </si>
  <si>
    <t>Cash and cash equivalents at beginning of year</t>
  </si>
  <si>
    <t>Cash and cash equivalents at end of year</t>
  </si>
  <si>
    <t>Cash and cash equivalents</t>
  </si>
  <si>
    <t>Fixed deposits with licensed banks</t>
  </si>
  <si>
    <t>Cash in hand and at banks</t>
  </si>
  <si>
    <t>Audited</t>
  </si>
  <si>
    <t xml:space="preserve">          Cash and bank balances</t>
  </si>
  <si>
    <t xml:space="preserve">          Fixed deposits</t>
  </si>
  <si>
    <t xml:space="preserve">          Bank overdraft</t>
  </si>
  <si>
    <t xml:space="preserve">          Obligation under finance lease</t>
  </si>
  <si>
    <t>PPE - cost</t>
  </si>
  <si>
    <t>PPE - Accumulated depreciation</t>
  </si>
  <si>
    <t>Construction rights</t>
  </si>
  <si>
    <t>Timber</t>
  </si>
  <si>
    <t>Consolidated Cash Flow adjustments</t>
  </si>
  <si>
    <t>Depreciation of PPE</t>
  </si>
  <si>
    <t>Purchase of PPE</t>
  </si>
  <si>
    <t>PPE</t>
  </si>
  <si>
    <t>PPE written off</t>
  </si>
  <si>
    <t>Amortisation of investment properties (CF)</t>
  </si>
  <si>
    <t>Interest paid (Operating CF)</t>
  </si>
  <si>
    <t>Finance cost</t>
  </si>
  <si>
    <t>Non current Borrowings - Finance lease</t>
  </si>
  <si>
    <t>Current Borrowings - Finance lease</t>
  </si>
  <si>
    <t>A1</t>
  </si>
  <si>
    <t>Depreciation</t>
  </si>
  <si>
    <t>Additions</t>
  </si>
  <si>
    <t>Cashflow</t>
  </si>
  <si>
    <t>Casflow</t>
  </si>
  <si>
    <t>A2</t>
  </si>
  <si>
    <t>A3</t>
  </si>
  <si>
    <t>A4</t>
  </si>
  <si>
    <t>A5</t>
  </si>
  <si>
    <t>A6</t>
  </si>
  <si>
    <t>Purchase of construction rights</t>
  </si>
  <si>
    <t>A7</t>
  </si>
  <si>
    <t>A8</t>
  </si>
  <si>
    <t>A10</t>
  </si>
  <si>
    <t>Gain</t>
  </si>
  <si>
    <t>Unrealised loss</t>
  </si>
  <si>
    <t>Proceeds</t>
  </si>
  <si>
    <t>Purchase</t>
  </si>
  <si>
    <t>TeamJap</t>
  </si>
  <si>
    <t>Interest received (Investing CF)</t>
  </si>
  <si>
    <t>Interest received (Financing CF)</t>
  </si>
  <si>
    <t>Net gain on financial assets at fair value through profit or loss</t>
  </si>
  <si>
    <t>Auto</t>
  </si>
  <si>
    <t>Others</t>
  </si>
  <si>
    <t>Hardie</t>
  </si>
  <si>
    <t>Land held for property development</t>
  </si>
  <si>
    <t>Property development cost</t>
  </si>
  <si>
    <t>Retained profit</t>
  </si>
  <si>
    <t>Goodwill</t>
  </si>
  <si>
    <t>Net cash inflow on acquisition of a subsidiary</t>
  </si>
  <si>
    <t>A14</t>
  </si>
  <si>
    <t>A13</t>
  </si>
  <si>
    <t>Property</t>
  </si>
  <si>
    <t>Investment</t>
  </si>
  <si>
    <t>Acc. Loss</t>
  </si>
  <si>
    <t>Share capital - NCI</t>
  </si>
  <si>
    <t>Retained profit - NCI</t>
  </si>
  <si>
    <t>Acc. Loss - NCI</t>
  </si>
  <si>
    <t>Non controlling interest</t>
  </si>
  <si>
    <t>Non-controlling interest</t>
  </si>
  <si>
    <t>Equity</t>
  </si>
  <si>
    <t>attributable</t>
  </si>
  <si>
    <t>to owners</t>
  </si>
  <si>
    <t>Non</t>
  </si>
  <si>
    <t>of the</t>
  </si>
  <si>
    <t>controlling</t>
  </si>
  <si>
    <t>interest</t>
  </si>
  <si>
    <t>Assets</t>
  </si>
  <si>
    <t>Liabilities</t>
  </si>
  <si>
    <t>Net Assets</t>
  </si>
  <si>
    <t>Amt owing</t>
  </si>
  <si>
    <t>Dr</t>
  </si>
  <si>
    <t>creditor</t>
  </si>
  <si>
    <t>Receivable</t>
  </si>
  <si>
    <t>Cr</t>
  </si>
  <si>
    <t>Amount owing</t>
  </si>
  <si>
    <t>Investment in subsu</t>
  </si>
  <si>
    <t>Company</t>
  </si>
  <si>
    <t>Investment in subsidiary companies (4 companies)</t>
  </si>
  <si>
    <t>Gain on disposal</t>
  </si>
  <si>
    <t>Timber concession rights RM23,350</t>
  </si>
  <si>
    <t>Assets held</t>
  </si>
  <si>
    <t>Liabilities held</t>
  </si>
  <si>
    <t>A16</t>
  </si>
  <si>
    <t>Net cash outflow on disposal of a subsidiary</t>
  </si>
  <si>
    <t>Announced</t>
  </si>
  <si>
    <t>Accumulated loss</t>
  </si>
  <si>
    <t>Pre-acquisition loss (01.02.2011 to 31.03.2011)</t>
  </si>
  <si>
    <t>Being to adjust for pre-acquisition loss of Hardie Development Sdn Bhd</t>
  </si>
  <si>
    <t>Being to take up goodwill for Hardie Development Sdn Bhd</t>
  </si>
  <si>
    <t>Being to adjust for non-controlling interest in Hardie Development Sdn Bhd</t>
  </si>
  <si>
    <t>Being to take up gain on disposal of 5 subsidiary companies</t>
  </si>
  <si>
    <t>5 Cos</t>
  </si>
  <si>
    <t>4 Cos</t>
  </si>
  <si>
    <t>1 Co</t>
  </si>
  <si>
    <t>Owners</t>
  </si>
  <si>
    <t>NCI</t>
  </si>
  <si>
    <t>A11</t>
  </si>
  <si>
    <t>A17</t>
  </si>
  <si>
    <t>A18</t>
  </si>
  <si>
    <t>Loan debtor</t>
  </si>
  <si>
    <t>A19</t>
  </si>
  <si>
    <t>Purchase of land held for property development</t>
  </si>
  <si>
    <t>A20</t>
  </si>
  <si>
    <t>Propety</t>
  </si>
  <si>
    <t>Being to adjust for pre-acquisition loss of Hardie Development Sdn Bhd as per audited accounts 31.01.2011</t>
  </si>
  <si>
    <t>Goodwill written off</t>
  </si>
  <si>
    <t>Being to impair goodwill as at 30.09.2011</t>
  </si>
  <si>
    <t>Accumulated loss (Pre-acq loss)</t>
  </si>
  <si>
    <t>Amortisation of Prepaid lease payment</t>
  </si>
  <si>
    <t>k</t>
  </si>
  <si>
    <t>Goodwill (622,499) RM435,749+RM1,060</t>
  </si>
  <si>
    <t>Non-controlling interest (0) RM186,750+RM454</t>
  </si>
  <si>
    <t>Trade and other payables RM8,705,594 + RM525</t>
  </si>
  <si>
    <t>PPE RM466,992 + RM10</t>
  </si>
  <si>
    <t>Property development cost (RM4,472,339 - RM1,000)</t>
  </si>
  <si>
    <t>Impairment of intangible assets</t>
  </si>
  <si>
    <t>A22</t>
  </si>
  <si>
    <t>Increase/(decrease) of floor stock securities</t>
  </si>
  <si>
    <t>Proceeds from disposal of PPE (Cergazam)</t>
  </si>
  <si>
    <t xml:space="preserve">PPE </t>
  </si>
  <si>
    <t>PPE - Impairment/write off (Cergazam)</t>
  </si>
  <si>
    <t>Loss on cessation of business</t>
  </si>
  <si>
    <t>Inventories - test drive car</t>
  </si>
  <si>
    <t>Loss on disposal of PPE Loss on cessation of business</t>
  </si>
  <si>
    <t xml:space="preserve">     Loss on cessation of business</t>
  </si>
  <si>
    <t>A25</t>
  </si>
  <si>
    <t>Inventories - hummer</t>
  </si>
  <si>
    <t>Inventories - spares</t>
  </si>
  <si>
    <t>Non controlling interest (30% x (RM819,377-RM135,116)) B/S</t>
  </si>
  <si>
    <t>Amortisation of Prepaid Lease Payment (RM11,084x4Q)</t>
  </si>
  <si>
    <t>financial year ended</t>
  </si>
  <si>
    <t xml:space="preserve">Allowance for impairment loss on receivables </t>
  </si>
  <si>
    <t>Wasiat RM1.78 mil + Janavita RMRM2.144</t>
  </si>
  <si>
    <t>A26</t>
  </si>
  <si>
    <t>Cash and bank balances classified as held for sale</t>
  </si>
  <si>
    <t>Deferred tax liability</t>
  </si>
  <si>
    <t>retained profit</t>
  </si>
  <si>
    <t>Allowance on loss on construction rights</t>
  </si>
  <si>
    <t>PDE - Architect fee (pre acquisition)</t>
  </si>
  <si>
    <t>PDE</t>
  </si>
  <si>
    <t>A28</t>
  </si>
  <si>
    <t xml:space="preserve">     Allowance for loss on construction rights</t>
  </si>
  <si>
    <t xml:space="preserve">     Hardie</t>
  </si>
  <si>
    <t xml:space="preserve">     Goodwill</t>
  </si>
  <si>
    <t xml:space="preserve">     Share capital - NCI</t>
  </si>
  <si>
    <t xml:space="preserve">     Retained profit - NCI</t>
  </si>
  <si>
    <t>Accumulated loss (01.02.2011 to 31.03.2011)</t>
  </si>
  <si>
    <t>Being adjustment to take up goodwill and NCI for Hardie Development</t>
  </si>
  <si>
    <t>2011 accumulated loss attributable to NCI (B/S)</t>
  </si>
  <si>
    <t>Being to take up post-acquisition loss attributed to NCI (01.04.2011 to 31.12.2011)</t>
  </si>
  <si>
    <t>Being reversal of impairment on imvestment in subsidiary companies in 2010</t>
  </si>
  <si>
    <t>Being reversal of impairment on imvestment in subsidiary companies in 2011.</t>
  </si>
  <si>
    <t>Intangible Assets - construction rights (33,680,000 x 30%/70%)</t>
  </si>
  <si>
    <t>P39</t>
  </si>
  <si>
    <t>P40</t>
  </si>
  <si>
    <t>P41</t>
  </si>
  <si>
    <t>Being to impair goodwill (Hardie) in 2010</t>
  </si>
  <si>
    <t>P42</t>
  </si>
  <si>
    <t>Intangible asset</t>
  </si>
  <si>
    <t>P43</t>
  </si>
  <si>
    <t>- Owners of the company</t>
  </si>
  <si>
    <t>- Non-controlling interests</t>
  </si>
  <si>
    <t>to owners of the Company :</t>
  </si>
  <si>
    <t>-------------------- Attributable to Owners of the Company --------------------</t>
  </si>
  <si>
    <t>parent,</t>
  </si>
  <si>
    <t>Reserve</t>
  </si>
  <si>
    <t>(The figures have not been audited)</t>
  </si>
  <si>
    <t xml:space="preserve">     Goodwill written off</t>
  </si>
  <si>
    <t xml:space="preserve">     Impairment loss on receivables</t>
  </si>
  <si>
    <t xml:space="preserve">     Unrealised loss on foreign exchange</t>
  </si>
  <si>
    <t>Net cash outflow on acquisition of a subsidiary</t>
  </si>
  <si>
    <t>OK</t>
  </si>
  <si>
    <t>C8</t>
  </si>
  <si>
    <t>C1</t>
  </si>
  <si>
    <t>C2</t>
  </si>
  <si>
    <t>Proceeds from borrowings - Hardie</t>
  </si>
  <si>
    <t>Proceeds from borrowings</t>
  </si>
  <si>
    <t>Tax paid</t>
  </si>
  <si>
    <t>Cergazam tax recoverable in other payables</t>
  </si>
  <si>
    <t>Unrealised loss on exchange</t>
  </si>
  <si>
    <t>30.06.12</t>
  </si>
  <si>
    <t>13 + 1 cos</t>
  </si>
  <si>
    <t>Share capital - Hardie Development Sdn Bhd</t>
  </si>
  <si>
    <t>C14</t>
  </si>
  <si>
    <t xml:space="preserve">Share capital - Hardie Development Sdn Bhd </t>
  </si>
  <si>
    <t>Investment in subsidiary (70% PIB x RM1,999,900)</t>
  </si>
  <si>
    <t>Minority interest (30% MI x RM1,999,900)</t>
  </si>
  <si>
    <t>.</t>
  </si>
  <si>
    <t>Accumulated depreciation (Written off)</t>
  </si>
  <si>
    <t>Proceeds from disposal of PPE</t>
  </si>
  <si>
    <t>SAA11C</t>
  </si>
  <si>
    <t>PIB</t>
  </si>
  <si>
    <t>Borrowings (non-current Hardie FL1 &amp; FL2)</t>
  </si>
  <si>
    <t>A29</t>
  </si>
  <si>
    <t>Issuance of share capital to non-controlling interests of subdi co.</t>
  </si>
  <si>
    <t>Issuance of share capital to NCI of subsidiary company</t>
  </si>
  <si>
    <t>A9</t>
  </si>
  <si>
    <t>Q3</t>
  </si>
  <si>
    <t>30.09.12</t>
  </si>
  <si>
    <t>SAB3250K</t>
  </si>
  <si>
    <t>SAB3251K</t>
  </si>
  <si>
    <t>FL1</t>
  </si>
  <si>
    <t>FL2</t>
  </si>
  <si>
    <t>Refunded</t>
  </si>
  <si>
    <t>Net loss on financial assets at fair value through profit or loss</t>
  </si>
  <si>
    <t xml:space="preserve">Bank overdrafts                                </t>
  </si>
  <si>
    <t>CONSOLIDATED STATEMENTS OF FINANCIAL POSITION AS AT 31ST DECEMBER 2012</t>
  </si>
  <si>
    <t>ok</t>
  </si>
  <si>
    <t>Being to take up post-acquisition loss attributed to NCI (01.01.2012 to 31.12.2012)</t>
  </si>
  <si>
    <t>C10</t>
  </si>
  <si>
    <t>Non controlling interest (30% x (RM1,228,564) B/S</t>
  </si>
  <si>
    <t>disposed</t>
  </si>
  <si>
    <t>Other payables - Interest</t>
  </si>
  <si>
    <t>PPE (Cergazam)</t>
  </si>
  <si>
    <t>Trade receivables - Wasiat 3581992-1780000</t>
  </si>
  <si>
    <t>Other receivables - Janavita 4310151-2144000</t>
  </si>
  <si>
    <t>Being adjustment to take up the gross amount of the construction rights.</t>
  </si>
  <si>
    <t>Being reversal of impairment on imvestment in subsidiary companies in 2012.</t>
  </si>
  <si>
    <t>Disposal</t>
  </si>
  <si>
    <t>Loans and borrowings</t>
  </si>
  <si>
    <t>Trade and other receivables plus prepayment</t>
  </si>
  <si>
    <t xml:space="preserve">     Allowance for Impairment loss on other receivables</t>
  </si>
  <si>
    <t>Accumulated depreciation (Hardie Written off)</t>
  </si>
  <si>
    <t>PPE (Hardie Written off)</t>
  </si>
  <si>
    <t>Accumulated depreciation (PIB WFA 6)</t>
  </si>
  <si>
    <t>MCH 41</t>
  </si>
  <si>
    <t>Tax recoverable (Cergaz Auto)</t>
  </si>
  <si>
    <t>Loss on disposal of marketable securities</t>
  </si>
  <si>
    <t>Short term deposits pledged toBG</t>
  </si>
  <si>
    <t>FD</t>
  </si>
  <si>
    <t>A32</t>
  </si>
  <si>
    <t>30.06.13</t>
  </si>
  <si>
    <t>Assets classified as held for sale</t>
  </si>
  <si>
    <t xml:space="preserve">     Cash and bank balances</t>
  </si>
  <si>
    <t>Liabilities classified as held for sale</t>
  </si>
  <si>
    <t>Being disposal of Fook Ngiap Sawmill in the subsequent year taken up into account</t>
  </si>
  <si>
    <t>Being disposal of Sungai Silinponpon in the subsequent year taken up into account</t>
  </si>
  <si>
    <t xml:space="preserve">     Property, plant and equipment</t>
  </si>
  <si>
    <t xml:space="preserve">     Other receivable</t>
  </si>
  <si>
    <t xml:space="preserve">          PPE</t>
  </si>
  <si>
    <t xml:space="preserve">          Investment properties</t>
  </si>
  <si>
    <t xml:space="preserve">          Other receivables</t>
  </si>
  <si>
    <t>Assets held for sales</t>
  </si>
  <si>
    <t>Liabilities held for sale</t>
  </si>
  <si>
    <t>Cash at bank</t>
  </si>
  <si>
    <t xml:space="preserve">     classified as held for sale</t>
  </si>
  <si>
    <t>Permaju Industries Bhd</t>
  </si>
  <si>
    <t>Disposal of FNS &amp; SS</t>
  </si>
  <si>
    <t>Permaju level</t>
  </si>
  <si>
    <t>Investment in Fook Ngiap Sawmill</t>
  </si>
  <si>
    <t>Investment in Sungai Silinponpon</t>
  </si>
  <si>
    <t>Amount due from Sungai Silinponpon</t>
  </si>
  <si>
    <t>Amount due to Fook Ngiap</t>
  </si>
  <si>
    <t>31.12.12</t>
  </si>
  <si>
    <t>Bank/receivable - FN</t>
  </si>
  <si>
    <t>Bank/receivable - SS</t>
  </si>
  <si>
    <t xml:space="preserve">     Investment in Fook Ngiap Sawmill</t>
  </si>
  <si>
    <t xml:space="preserve">     Investment in Sungai Silinponpon</t>
  </si>
  <si>
    <t xml:space="preserve">     Amount due from Sungai Silinponpon</t>
  </si>
  <si>
    <t xml:space="preserve">     Gain on disposal of subsidiary companies</t>
  </si>
  <si>
    <t>JV</t>
  </si>
  <si>
    <t>Permaju conso level</t>
  </si>
  <si>
    <t>Fook Ngiap</t>
  </si>
  <si>
    <t>Property, plant &amp; equipment</t>
  </si>
  <si>
    <t>Trade &amp; other receivables</t>
  </si>
  <si>
    <t>Prepayments</t>
  </si>
  <si>
    <t>Cash &amp; bank balances</t>
  </si>
  <si>
    <t>Sungai Silinponpon</t>
  </si>
  <si>
    <t>Investment property</t>
  </si>
  <si>
    <t>Liabilities classified as held for sale - FN</t>
  </si>
  <si>
    <t>Liabilities classified as held for sale - SS</t>
  </si>
  <si>
    <t xml:space="preserve">     Assets classified as held for sale - FN</t>
  </si>
  <si>
    <t xml:space="preserve">     Assets classified as held for sale - SS</t>
  </si>
  <si>
    <t>Amount due to PIB - SS</t>
  </si>
  <si>
    <t xml:space="preserve">     Amount due from PIB - FN</t>
  </si>
  <si>
    <t>Loss on disposal of subsidiary companies</t>
  </si>
  <si>
    <t>Net gain at conso level</t>
  </si>
  <si>
    <t>Share capital - Cergazam</t>
  </si>
  <si>
    <t>Share capital - Cergaz Autohaus</t>
  </si>
  <si>
    <t>Investment in subsidiary</t>
  </si>
  <si>
    <t>30.09.2013</t>
  </si>
  <si>
    <t>PPE (Cergazam written off)</t>
  </si>
  <si>
    <t>Accumulated depreciation (Cergazam written off)</t>
  </si>
  <si>
    <t>PPE written off (Hardie)</t>
  </si>
  <si>
    <t>PPE written off (Cergazam)</t>
  </si>
  <si>
    <t>Written off</t>
  </si>
  <si>
    <t>PPE (Rintisan written off)</t>
  </si>
  <si>
    <t>PPE (Rintisan disposal)</t>
  </si>
  <si>
    <t>Gain on disposal of PPE (Rintisan)</t>
  </si>
  <si>
    <t>Proceeds from disposal of PPE (Hardie)</t>
  </si>
  <si>
    <t>Proceeds from disposal of PPE (Rintisan)</t>
  </si>
  <si>
    <t>Accumulated depreciation (Rintisan written off)</t>
  </si>
  <si>
    <t>Accumulated depreciation (Rintisan disposal)</t>
  </si>
  <si>
    <t>PPE written off (Rintisan)</t>
  </si>
  <si>
    <t>BL1</t>
  </si>
  <si>
    <t>Non current Borrowings - Finance lease (adj)</t>
  </si>
  <si>
    <t xml:space="preserve">     Net (Gain)loss on financial assets at fair value through profit or loss</t>
  </si>
  <si>
    <t>Cergaz Auto</t>
  </si>
  <si>
    <t>Bad debts written off (Cergazam)</t>
  </si>
  <si>
    <t>Trade recevables</t>
  </si>
  <si>
    <t>A33</t>
  </si>
  <si>
    <t>Current liabilitites</t>
  </si>
  <si>
    <t>Net assets</t>
  </si>
  <si>
    <t>Being to take up post-acquisition loss attributed to NCI (01.01.2013 to 31.12.2013)</t>
  </si>
  <si>
    <t>31.12.13</t>
  </si>
  <si>
    <t>FN</t>
  </si>
  <si>
    <t>SS</t>
  </si>
  <si>
    <t>PPE (Cergazam diposal)</t>
  </si>
  <si>
    <t>Accumulated depreciation (Cergazam disposal)</t>
  </si>
  <si>
    <t>Accumulated depreciation (Team Jap written off)</t>
  </si>
  <si>
    <t>PPE (Team Jap disposal)</t>
  </si>
  <si>
    <t>Accumulated depreciation (Team Jap disposal)</t>
  </si>
  <si>
    <t>Proceeds from disposal of PPE (Team Jap)</t>
  </si>
  <si>
    <t>30.09.13</t>
  </si>
  <si>
    <t>Q4</t>
  </si>
  <si>
    <t>A35</t>
  </si>
  <si>
    <t>Unaudited</t>
  </si>
  <si>
    <t>Property development costs</t>
  </si>
  <si>
    <t>Prepayment</t>
  </si>
  <si>
    <t>Assets of disposal group</t>
  </si>
  <si>
    <t>Liabilities directly associated with disposal</t>
  </si>
  <si>
    <t xml:space="preserve">     group classified as held for sale</t>
  </si>
  <si>
    <t>Equity attributable to owners</t>
  </si>
  <si>
    <t>Property, plant and equipment - FN</t>
  </si>
  <si>
    <t>Property, plant and equipment - Rintisan</t>
  </si>
  <si>
    <t>a</t>
  </si>
  <si>
    <t>b</t>
  </si>
  <si>
    <t>Investment in subsidiary companies - 4</t>
  </si>
  <si>
    <t>Non-current asset classified as held for sale - 4</t>
  </si>
  <si>
    <t>Investment in subsidiary companies - 6</t>
  </si>
  <si>
    <t>Non-current assets classified as held for sale - 6</t>
  </si>
  <si>
    <t>Non controlling interest (30% x (RM2,004,835) B/S</t>
  </si>
  <si>
    <t>Acc loss attributable to NCI (B/S)</t>
  </si>
  <si>
    <t>Being reversal of impairment on imvestment in subsidiary companies in 2013.</t>
  </si>
  <si>
    <t>Intangible assets construction rights investment in subsidiary</t>
  </si>
  <si>
    <t>Being reclassification of accounts</t>
  </si>
  <si>
    <t>Being amortisation of construction rights</t>
  </si>
  <si>
    <t>Other income - management fee (Cergazam)</t>
  </si>
  <si>
    <t>Admin expenses management fee</t>
  </si>
  <si>
    <t>Capital Intertrade (RM50,000 per mth)</t>
  </si>
  <si>
    <t>Being elimination of management fee.</t>
  </si>
  <si>
    <t>Other income - rental income (Cergazam)</t>
  </si>
  <si>
    <t>Admin expenses rental expense</t>
  </si>
  <si>
    <t>Being elimination of rental income.</t>
  </si>
  <si>
    <t>Amortisation of property development cost (IS)</t>
  </si>
  <si>
    <t>Property development cost (refer P51)</t>
  </si>
  <si>
    <t>Being charge out amortisation of property development cost to income statement</t>
  </si>
  <si>
    <t>C18</t>
  </si>
  <si>
    <t>C18/19</t>
  </si>
  <si>
    <t>C19</t>
  </si>
  <si>
    <t xml:space="preserve">     (3,688,862 (B/S)+4,683,599 (P17) -3,210,885 (P17)-1,472,714 (P28a))</t>
  </si>
  <si>
    <t xml:space="preserve">     Prepaid lease payment (3,978,857 (P18) - 241,052 (P18))</t>
  </si>
  <si>
    <t xml:space="preserve">     Investment properties (1,535,182 (B/S) + 4,644,121 (P15) - 2,576,300 (P16))</t>
  </si>
  <si>
    <t xml:space="preserve">          FL</t>
  </si>
  <si>
    <t xml:space="preserve">          BL</t>
  </si>
  <si>
    <t>Profit before tax from Income statement</t>
  </si>
  <si>
    <t xml:space="preserve">     Net loss on disposal of investment securities</t>
  </si>
  <si>
    <t xml:space="preserve">     Net gain on disposal of properrty, plant and equipment</t>
  </si>
  <si>
    <t xml:space="preserve">     Impairment loss on trade and other receivables</t>
  </si>
  <si>
    <t>(Increase)/decrease in prepayments</t>
  </si>
  <si>
    <t>Tree planting expenditure</t>
  </si>
  <si>
    <t>Purchase of investment securities</t>
  </si>
  <si>
    <t>Additional costs incurred on land held for property development</t>
  </si>
  <si>
    <t>Deposits pledged</t>
  </si>
  <si>
    <t>Other payables (Cergazam)</t>
  </si>
  <si>
    <t>Borrowings (non-current Hardie FL1,FL2,BL) Interest Mar 14</t>
  </si>
  <si>
    <t>Adj</t>
  </si>
  <si>
    <t>A36</t>
  </si>
  <si>
    <t>Deferred Tax liabilities (Cergazam)</t>
  </si>
  <si>
    <t>Cergaz</t>
  </si>
  <si>
    <t>Cap Inter</t>
  </si>
  <si>
    <t>Income tax expense</t>
  </si>
  <si>
    <t>Net current assets</t>
  </si>
  <si>
    <t>Additions costs incurred on land held for property development</t>
  </si>
  <si>
    <t>Operating cash flows before changes in working capital</t>
  </si>
  <si>
    <t>Inv properties</t>
  </si>
  <si>
    <t>Receivables</t>
  </si>
  <si>
    <t>CAB</t>
  </si>
  <si>
    <t>payables</t>
  </si>
  <si>
    <t>30.06.2014</t>
  </si>
  <si>
    <t>Cergaz Autohaus (RM120,000 per mth)</t>
  </si>
  <si>
    <t>Saleable land</t>
  </si>
  <si>
    <t>Total construction rights</t>
  </si>
  <si>
    <t>Impairment of construciton rights</t>
  </si>
  <si>
    <t>Impairment of construction rights - PIB</t>
  </si>
  <si>
    <t>Impairment of construction rights - NCI</t>
  </si>
  <si>
    <t>Other receivable RM7</t>
  </si>
  <si>
    <t>Acc loss RM7</t>
  </si>
  <si>
    <t>Income tax refunded (Cergaz Autohaus)</t>
  </si>
  <si>
    <t>Amortisation of Prepaid lease pymt/inv properties</t>
  </si>
  <si>
    <t>30.09.2014</t>
  </si>
  <si>
    <t>Balance construction rights</t>
  </si>
  <si>
    <t>Being to take up disposal of Sungai Silinponpon</t>
  </si>
  <si>
    <t>C21</t>
  </si>
  <si>
    <t>Investment in subsidiary - Sungai Silinponpon</t>
  </si>
  <si>
    <t>Amount owing to Permaju</t>
  </si>
  <si>
    <t>Loss on disposal of SS</t>
  </si>
  <si>
    <t>WA8718B</t>
  </si>
  <si>
    <t>BL2</t>
  </si>
  <si>
    <t>Non current borrowings</t>
  </si>
  <si>
    <t>other payables</t>
  </si>
  <si>
    <t>Tax recoverable (Rintisan Bumi)</t>
  </si>
  <si>
    <t>Proceeds from disposal</t>
  </si>
  <si>
    <t>Loss on disposal</t>
  </si>
  <si>
    <t>Rintisan under provision of taxation</t>
  </si>
  <si>
    <t>Total assets</t>
  </si>
  <si>
    <t>NTA</t>
  </si>
  <si>
    <t>NTA per share</t>
  </si>
  <si>
    <t>Less: Deposits pledged</t>
  </si>
  <si>
    <t>Announcement</t>
  </si>
  <si>
    <t>Adjustment</t>
  </si>
  <si>
    <t>Reclassification</t>
  </si>
  <si>
    <t>Group</t>
  </si>
  <si>
    <t>FNS</t>
  </si>
  <si>
    <t>Incentive</t>
  </si>
  <si>
    <t>Divi inc</t>
  </si>
  <si>
    <t>Inter sales</t>
  </si>
  <si>
    <t>Capital Inter</t>
  </si>
  <si>
    <t>Div inv</t>
  </si>
  <si>
    <t>FV gain</t>
  </si>
  <si>
    <t>906-AP02</t>
  </si>
  <si>
    <t>550-005</t>
  </si>
  <si>
    <t>902B001</t>
  </si>
  <si>
    <t>902-B001</t>
  </si>
  <si>
    <t>902-B006</t>
  </si>
  <si>
    <t>Mgmtfee</t>
  </si>
  <si>
    <t>Rental</t>
  </si>
  <si>
    <t>31.12.2014</t>
  </si>
  <si>
    <t>Operating activities</t>
  </si>
  <si>
    <t>Investing activities</t>
  </si>
  <si>
    <t>Financing activities</t>
  </si>
  <si>
    <t>Proceeds from loans and borrowings</t>
  </si>
  <si>
    <t>Repayment of obligations under finance leases</t>
  </si>
  <si>
    <t>Shops - % stage of completion Dev cost 31.12.14</t>
  </si>
  <si>
    <t>Shops - % sales 31.12.14</t>
  </si>
  <si>
    <t>Resi - % stage of completion Dev cost 31.12.14</t>
  </si>
  <si>
    <t>Resi - % sales 31.12.14</t>
  </si>
  <si>
    <t>Inv propeties</t>
  </si>
  <si>
    <t>Other receiv</t>
  </si>
  <si>
    <t>Other pay</t>
  </si>
  <si>
    <t>Tax pay</t>
  </si>
  <si>
    <t>SHOPS</t>
  </si>
  <si>
    <t xml:space="preserve">RESIDENTIAL </t>
  </si>
  <si>
    <t>Retained profit (Rintisan tax RM20,469)</t>
  </si>
  <si>
    <t>Tax recoverable (Rintisan)</t>
  </si>
  <si>
    <t>Accumulated depreciation - Cergazam</t>
  </si>
  <si>
    <t xml:space="preserve">     Fittings &amp; furniture</t>
  </si>
  <si>
    <t xml:space="preserve">     Renovation</t>
  </si>
  <si>
    <t xml:space="preserve">     Electrtical wiring</t>
  </si>
  <si>
    <t xml:space="preserve">     Signage</t>
  </si>
  <si>
    <t>Impairment loss on property, plant &amp; equipment</t>
  </si>
  <si>
    <t>ADJS</t>
  </si>
  <si>
    <t>Other payables - Kowangan</t>
  </si>
  <si>
    <t>Land held for properrty development</t>
  </si>
  <si>
    <t>To take up land cost payable to Kowangan</t>
  </si>
  <si>
    <t>To write off Ph1B property development cost to RM11.52 million.</t>
  </si>
  <si>
    <t>Ph1A - Terrace 77% (assessment)</t>
  </si>
  <si>
    <t>Ph1A - Shops 23% (assessment)</t>
  </si>
  <si>
    <t>Admin - Assessment</t>
  </si>
  <si>
    <t>To capitalise asssesment to Ph1A terraqce and shops.</t>
  </si>
  <si>
    <t xml:space="preserve">Ph1A - Terrace 17% </t>
  </si>
  <si>
    <t>Ph1A - Shops 5%</t>
  </si>
  <si>
    <t>Ph1C - 8%</t>
  </si>
  <si>
    <t>Ph1D - 17%</t>
  </si>
  <si>
    <t>Ph1E - 21%</t>
  </si>
  <si>
    <t>Ph1F - 15%</t>
  </si>
  <si>
    <t>Ph1G - 9%</t>
  </si>
  <si>
    <t>Ph1H - 9%</t>
  </si>
  <si>
    <t>To capitalise bank charges to Ph1A terrace and shops and Ph1C to Ph1H.</t>
  </si>
  <si>
    <t>Income tax - IS</t>
  </si>
  <si>
    <t>PDC - shop (BS)</t>
  </si>
  <si>
    <t>Progress billing - resi</t>
  </si>
  <si>
    <t>Revenue recognised - resi</t>
  </si>
  <si>
    <t>PDC - resi (BS)</t>
  </si>
  <si>
    <t>PDC recognised- resi (IS)</t>
  </si>
  <si>
    <t>Progress billing - shop (BS)</t>
  </si>
  <si>
    <t>Revenue recognised - shop (IS)</t>
  </si>
  <si>
    <t>PDC recognised- shop (IS)</t>
  </si>
  <si>
    <t>30% share of provision for foreseeable loss in 2012 RM9,242,398</t>
  </si>
  <si>
    <t>Profit/(loss) attributed to</t>
  </si>
  <si>
    <t>Total comprehensive profit/(loss)</t>
  </si>
  <si>
    <t>A38</t>
  </si>
  <si>
    <t>Provision for foreseeable losses in 2012</t>
  </si>
  <si>
    <t>Transfer of construction rights from PDC to construction rights</t>
  </si>
  <si>
    <t>A39</t>
  </si>
  <si>
    <t>Revenue recognised - Ph1B</t>
  </si>
  <si>
    <t>PDC recognised - Ph1B (IS)</t>
  </si>
  <si>
    <t>Ph1B PDC (BS)</t>
  </si>
  <si>
    <t>Being reclassify construction rights amortised to PDC &amp; Land held back to construction rights and amoritised to Income statement</t>
  </si>
  <si>
    <t>Retained earning 2,772,719</t>
  </si>
  <si>
    <t>Non controlling interest 2,772,719</t>
  </si>
  <si>
    <t>C24</t>
  </si>
  <si>
    <t>Being impairment of construction rights for Ph1A - shops &amp; resi</t>
  </si>
  <si>
    <t>Other payables - Tax 1,252,260</t>
  </si>
  <si>
    <t>To transfer Ph1B cost to income statement</t>
  </si>
  <si>
    <t>Admin bank charges</t>
  </si>
  <si>
    <t>Accumulated loss (9,242,398)</t>
  </si>
  <si>
    <t>Cergazam adj</t>
  </si>
  <si>
    <t xml:space="preserve">          Tax payable</t>
  </si>
  <si>
    <t>To provide current year tax</t>
  </si>
  <si>
    <t>Incorporated directly into Income statement and balance sheet (check the excel box)</t>
  </si>
  <si>
    <t>Capital Intertrade</t>
  </si>
  <si>
    <t>Acc. Depreciation</t>
  </si>
  <si>
    <t xml:space="preserve">          Depreciation</t>
  </si>
  <si>
    <t>To reverse depreciation charge for the year</t>
  </si>
  <si>
    <t>Admin - write off of PPE</t>
  </si>
  <si>
    <t>To write off PPE for old show room</t>
  </si>
  <si>
    <t>To reverse accrual double taken up.</t>
  </si>
  <si>
    <t>Selling &amp; marketing - sales brokerage fee</t>
  </si>
  <si>
    <t xml:space="preserve">          Other payables - accrual</t>
  </si>
  <si>
    <t>Bank</t>
  </si>
  <si>
    <t>Other payables - tax payables</t>
  </si>
  <si>
    <t>PPE written off (Capital Intertrade)</t>
  </si>
  <si>
    <t>PPE (Capital Intertrade written off)</t>
  </si>
  <si>
    <t>To reverse allowance for income tax after Ph1B cost write off of RM9 mil</t>
  </si>
  <si>
    <t>Type A - 32 RM240 x 32 x 995</t>
  </si>
  <si>
    <t>Type B - 72 RM240 x 72 x 752</t>
  </si>
  <si>
    <t>Hardie Development Sdn Bhd</t>
  </si>
  <si>
    <t>To recognise land cost based on Shareda 2013 RM240 per sqft</t>
  </si>
  <si>
    <t>Non controlling interest (30% x (RM7,720,706) B/S</t>
  </si>
  <si>
    <t>Reclassification of company gain on disposal of subsi to admin expenses in group level due to loss.</t>
  </si>
  <si>
    <t>Audit</t>
  </si>
  <si>
    <t>Being classification of construction rights amortised to land held in current and non-current</t>
  </si>
  <si>
    <t>Being PDC charge out to P&amp;L.</t>
  </si>
  <si>
    <t>Inter Cos - impairment</t>
  </si>
  <si>
    <t>discounting</t>
  </si>
  <si>
    <t>Other current assets</t>
  </si>
  <si>
    <t>Retention sum</t>
  </si>
  <si>
    <t>Other current liabilities</t>
  </si>
  <si>
    <t>Amount due from subsi</t>
  </si>
  <si>
    <t>Admin - impairment</t>
  </si>
  <si>
    <t>Amount due from subsi - impairment</t>
  </si>
  <si>
    <t>Amount due from subsi - discounting interest</t>
  </si>
  <si>
    <t>Finance cost - discounting interest</t>
  </si>
  <si>
    <t>Current (PDC)</t>
  </si>
  <si>
    <t>Salable area (m²)</t>
  </si>
  <si>
    <t>A1-residential</t>
  </si>
  <si>
    <t>A2-shop</t>
  </si>
  <si>
    <t>1B-apartment</t>
  </si>
  <si>
    <t>E1</t>
  </si>
  <si>
    <t>F1</t>
  </si>
  <si>
    <t>Non-current (Land held)</t>
  </si>
  <si>
    <t>D1</t>
  </si>
  <si>
    <t>G1</t>
  </si>
  <si>
    <t>H1</t>
  </si>
  <si>
    <t>I2</t>
  </si>
  <si>
    <t>J2</t>
  </si>
  <si>
    <t>K2</t>
  </si>
  <si>
    <t>(Being classification of construction rights to land held in current and non-current)</t>
  </si>
  <si>
    <t>Assets held for sale</t>
  </si>
  <si>
    <t>2014 Permanent adjustment</t>
  </si>
  <si>
    <t>Being to take up post-acquisition profit attributed to NCI (01.01.2014 to 31.12.2014)</t>
  </si>
  <si>
    <t>Being reversal of impairment on imvestment in subsidiary companies in 2014.</t>
  </si>
  <si>
    <t>Non controlling interest (30% of amortised PDC RM1,588,168)</t>
  </si>
  <si>
    <t>Being to take up non controlling interest share of PDC amortised</t>
  </si>
  <si>
    <t>Acc loss (full amortisation of PDC RM1,588,168)</t>
  </si>
  <si>
    <t>Property development cost (current)</t>
  </si>
  <si>
    <t>Being to take up Property development cost amortised for 2014</t>
  </si>
  <si>
    <t>Disposed</t>
  </si>
  <si>
    <t>Fook Ngiap inter co balance</t>
  </si>
  <si>
    <t>Intangible assets - current</t>
  </si>
  <si>
    <t>Intangible assets - non current</t>
  </si>
  <si>
    <t>Land held - current</t>
  </si>
  <si>
    <t>Land held - non current</t>
  </si>
  <si>
    <t>Amortised 31.12.2014</t>
  </si>
  <si>
    <t>Less: Amortised in 2014</t>
  </si>
  <si>
    <t>Being reversal of impairment and discounting interest on amount due from subsidairies 2014</t>
  </si>
  <si>
    <t>Income statement - Impairment of construction rights (30% - NCI)</t>
  </si>
  <si>
    <t>Income statement - Impairment of construction rights (70% - owner)</t>
  </si>
  <si>
    <t>Land held for property development - non current</t>
  </si>
  <si>
    <t>Property development cost - current</t>
  </si>
  <si>
    <t>Being reclassify FN to held for sale</t>
  </si>
  <si>
    <t>31.03.2015</t>
  </si>
  <si>
    <t xml:space="preserve">     Plant, plant and equipment written off</t>
  </si>
  <si>
    <t xml:space="preserve">     Impairment loss on plant, plant and equipment</t>
  </si>
  <si>
    <t xml:space="preserve">     Loss on disposal of investment in a subsidiary</t>
  </si>
  <si>
    <t>(Increase)/decrease in other current assets</t>
  </si>
  <si>
    <t>Increase/(decrease) in other current liabilities</t>
  </si>
  <si>
    <t>Disposal of investment in a subsidiary</t>
  </si>
  <si>
    <t>Other current asset</t>
  </si>
  <si>
    <t>Inventory</t>
  </si>
  <si>
    <t>Tax recoverable (Cergazam)</t>
  </si>
  <si>
    <t>Tax recoverable (Cergaz Auto) RM56,000 - RM3,966</t>
  </si>
  <si>
    <t>Other payables (Cergaz Auto)</t>
  </si>
  <si>
    <t>Other payables Cergazam</t>
  </si>
  <si>
    <t>01.01.2015</t>
  </si>
  <si>
    <t>Short term deposits</t>
  </si>
  <si>
    <t>Net cash flows used in investing activities</t>
  </si>
  <si>
    <t>Repayment of loans and borrowings</t>
  </si>
  <si>
    <t>Parents</t>
  </si>
  <si>
    <t>Amount due to subsi (difference) 8,849</t>
  </si>
  <si>
    <t>PPE adjustments</t>
  </si>
  <si>
    <t>Acrrual bonus</t>
  </si>
  <si>
    <t>Accrual EPF</t>
  </si>
  <si>
    <t>Deferred tax</t>
  </si>
  <si>
    <t>10 test drive car from Inv to PPE - writedown</t>
  </si>
  <si>
    <t>7 mgmt car from Inv to PPE - writedown</t>
  </si>
  <si>
    <t>Adj double taken up HP loan handling fee</t>
  </si>
  <si>
    <t>Adj over accrued of FD in prior yr</t>
  </si>
  <si>
    <t>Adj for over &amp; under provision Bonus</t>
  </si>
  <si>
    <t>Adj for over &amp; under provision EPF</t>
  </si>
  <si>
    <t>7 mgmt car - impairment loss</t>
  </si>
  <si>
    <t>10 test drive car - impairment loss</t>
  </si>
  <si>
    <t>7 mgmt car - Depreciation</t>
  </si>
  <si>
    <t>10 test drive car - depreciation</t>
  </si>
  <si>
    <t>Adj over &amp; under provision bonus</t>
  </si>
  <si>
    <t>Over provision of director bonus</t>
  </si>
  <si>
    <t>Tax adj</t>
  </si>
  <si>
    <t>50% impairment</t>
  </si>
  <si>
    <t>Obsolete spare</t>
  </si>
  <si>
    <t>Reversal of purchase invoice</t>
  </si>
  <si>
    <t>Team Jap</t>
  </si>
  <si>
    <t>Exclude from conso - FN</t>
  </si>
  <si>
    <t>Exclude from conso - SS</t>
  </si>
  <si>
    <t>Interest on discounting</t>
  </si>
  <si>
    <t>Hardie revenue</t>
  </si>
  <si>
    <t>Hardie cost</t>
  </si>
  <si>
    <t>31.12.14</t>
  </si>
  <si>
    <t>31.12.2015</t>
  </si>
  <si>
    <t>Property, plant and equipment written off</t>
  </si>
  <si>
    <t>CONSOLIDATED STATEMENTS OF COMPREHENSIVE INCOME FOR THE QUARTER ENDED 31ST DECEMBER 2014</t>
  </si>
  <si>
    <t>C20/25</t>
  </si>
  <si>
    <t>Adjs</t>
  </si>
  <si>
    <t>Amount due to subsi (998,377+112,245)</t>
  </si>
  <si>
    <t>Being to take up post-acquisition profit attributed to NCI (01.01.2015 to 31.12.2015)</t>
  </si>
  <si>
    <t>Shops - % sales 31.12.15</t>
  </si>
  <si>
    <t>Resi - % sales 31.12.15</t>
  </si>
  <si>
    <t>Shops - % stage of completion Dev cost 31.12.15</t>
  </si>
  <si>
    <t>Resi - % stage of completion Dev cost 31.12.15</t>
  </si>
  <si>
    <t>Rintisan RM104,892 + Genbayu RM26,203</t>
  </si>
  <si>
    <t>Repayment</t>
  </si>
  <si>
    <t>Repayment of FL1, FL2 &amp; BL1  (refer Hardie Current ac Daily balance)</t>
  </si>
  <si>
    <t>Retained profit (Hardie tax RM1,399,747)</t>
  </si>
  <si>
    <t>Retained earning (share of PDC amortised refer Conso C adjs 20)</t>
  </si>
  <si>
    <t>Non controlling interest (share of 30% RM3,773,339 profit in Hardie)</t>
  </si>
  <si>
    <t>Less RM9 to balance tax recoverable</t>
  </si>
  <si>
    <t>Other payables (Rintisan)</t>
  </si>
  <si>
    <t>Compatibility Report for PIB DEC 2015 12.1.xls</t>
  </si>
  <si>
    <t>Run on 18/02/2016 11:02</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</si>
  <si>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</si>
  <si>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</si>
  <si>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</si>
  <si>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</si>
  <si>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'Sheet1'!AL18</t>
  </si>
  <si>
    <t>'Sheet1'!AM24:AM25</t>
  </si>
  <si>
    <t>'Sheet1'!AM28</t>
  </si>
  <si>
    <t>'Sheet1'!AM39</t>
  </si>
  <si>
    <t>'Group IS 2014 with audit adjust'!B35:B37</t>
  </si>
  <si>
    <t>'Group IS 2013 with audit adjust'!B6</t>
  </si>
  <si>
    <t>'Group IS 2013 with audit adjust'!B8</t>
  </si>
  <si>
    <t>'Group IS 2013 with audit adjust'!B11</t>
  </si>
  <si>
    <t>'Group IS 2013 with audit adjust'!B13</t>
  </si>
  <si>
    <t>'Group IS 2013 with audit adjust'!B15</t>
  </si>
  <si>
    <t>'Group IS 2013 with audit adjust'!B23</t>
  </si>
  <si>
    <t>'Group IS 2013 with audit adjust'!B29</t>
  </si>
  <si>
    <t>'Group IS 2013 with audit adjust'!B35:B37</t>
  </si>
  <si>
    <t>Some cells or styles in this workbook contain formatting that is not supported by the selected file format. These formats will be converted to the closest format available.</t>
  </si>
  <si>
    <t>Retained profit (Cergazam current year tax)</t>
  </si>
  <si>
    <t>Impairment</t>
  </si>
  <si>
    <t>Impairment of PPE</t>
  </si>
  <si>
    <t>PPE (Cergaz Auto RM328,755 + Capital RM665,514)</t>
  </si>
  <si>
    <t>Trade debtors</t>
  </si>
  <si>
    <t>TDC</t>
  </si>
  <si>
    <t>Spares</t>
  </si>
  <si>
    <t>Impairment loss on inventory</t>
  </si>
  <si>
    <t>Impairment loss on trade and other receivables</t>
  </si>
  <si>
    <t>Note trf to PPE</t>
  </si>
  <si>
    <t>Being to adjust for impairment loss on inventory and trade receivables</t>
  </si>
  <si>
    <t>Conso amortise PDC</t>
  </si>
  <si>
    <t>Eliminate Mgmt fee &amp; rental inc</t>
  </si>
  <si>
    <t>31.09.14</t>
  </si>
  <si>
    <t xml:space="preserve">Revised </t>
  </si>
  <si>
    <t>Bad debts</t>
  </si>
  <si>
    <t>Agreed</t>
  </si>
  <si>
    <t>TDC (PPE)</t>
  </si>
  <si>
    <t>Capital spares</t>
  </si>
  <si>
    <t>Demo support</t>
  </si>
  <si>
    <t>Capital TDC</t>
  </si>
  <si>
    <t xml:space="preserve">     Sungai Silinponpon (Blockboard) Sdn Bhd 4,000,002</t>
  </si>
  <si>
    <t>Investment in subsidiary companies 59,606,593</t>
  </si>
  <si>
    <t>Investment properties 4,644,121</t>
  </si>
  <si>
    <t>Retained profits 2,576,300</t>
  </si>
  <si>
    <t>Investment properties 2,576,300</t>
  </si>
  <si>
    <t>Investment in subsidiaries 4,433,975</t>
  </si>
  <si>
    <t>Retained profits 4,433,975</t>
  </si>
  <si>
    <t>Amount due from subsi - impairment 9,869,650</t>
  </si>
  <si>
    <t>Amount due from subsi - discounting interest 4,257,292</t>
  </si>
  <si>
    <t>Retained profits 14,126,942</t>
  </si>
  <si>
    <t>Amount due from subsi - Impairment loss new</t>
  </si>
  <si>
    <t>Investment in subsidiary (Sungai Silinponpon) 114,787</t>
  </si>
  <si>
    <t>Acc. loss (Sungai Acc. Loss RM3,892,215 + disposal loss RM2,058,359) DR 5,950,574</t>
  </si>
  <si>
    <t>Loss on disposal 2,462</t>
  </si>
  <si>
    <t>Investment properties (Conso level) 2,067,821</t>
  </si>
  <si>
    <t>Share capital 4,000,002</t>
  </si>
  <si>
    <t>Non controlling interest (30% x (RM3,772,133) B/S</t>
  </si>
  <si>
    <t>Being reversal of impairment on investment on investment in subsidiary companies in 2015</t>
  </si>
  <si>
    <t>2015 Permanent adjustment</t>
  </si>
  <si>
    <t>Non controlling interest (30% of amortised PDC RM2,207,768)</t>
  </si>
  <si>
    <t>Acc loss (full amortisation of PDC RM2,207,768)</t>
  </si>
  <si>
    <t>Being to take up Property development cost amortised for 2015</t>
  </si>
  <si>
    <t>Current year loss attributable to NCI (B/S)</t>
  </si>
  <si>
    <t>Shops - % stage of completion Dev cost 31.03.16</t>
  </si>
  <si>
    <t>Shops - % sales 31.03.16</t>
  </si>
  <si>
    <t>Less: Amortised in 2014 and 2015</t>
  </si>
  <si>
    <t>As at 1st January 2016</t>
  </si>
  <si>
    <t>Total comprehensive loss for the period</t>
  </si>
  <si>
    <t>31.03.2016</t>
  </si>
  <si>
    <t>Retained profits (165,382 + 189,508 + 223,889) 578,779</t>
  </si>
  <si>
    <t xml:space="preserve">     Provision for slow moving and obsolete invemtories</t>
  </si>
  <si>
    <t>(Increase)/decrease in property development cost</t>
  </si>
  <si>
    <t>(Increase)/decrease in trade and other receivables</t>
  </si>
  <si>
    <t>Increase/(decrease) in trade and other payables</t>
  </si>
  <si>
    <t>Income tax (paid)/refunded</t>
  </si>
  <si>
    <t>Repayment of obligationunder finance leases</t>
  </si>
  <si>
    <t>Proceeds from disposal of PPE (Permaju)</t>
  </si>
  <si>
    <t>Proceeds from disposal of PPE (Cergaz Auto)</t>
  </si>
  <si>
    <t>Proceeds from disposal of PPE (Capital Intertrade)</t>
  </si>
  <si>
    <t>PPE (Permaju disposal)</t>
  </si>
  <si>
    <t>PPE (Cergaz Autohaus disposal)</t>
  </si>
  <si>
    <t>PPE (Capital Intertrade disposal)</t>
  </si>
  <si>
    <t>Accumulated depreciation (Permaju disposal)</t>
  </si>
  <si>
    <t>Accumulated depreciation (Cergaz Autohaus disposal)</t>
  </si>
  <si>
    <t>Accumulated depreciation (Capital Intertrade disposal)</t>
  </si>
  <si>
    <t>NS11</t>
  </si>
  <si>
    <t>Proceeds from borrowings - Permaju NS11</t>
  </si>
  <si>
    <t>Other payables (Hardie)</t>
  </si>
  <si>
    <t>Tax payables (Permaju b/s reclass from tax recov to tax pay)</t>
  </si>
  <si>
    <t>Tax recoverable (Permaju)</t>
  </si>
  <si>
    <t>Tax refunded (Rintisan)</t>
  </si>
  <si>
    <t>Tax payables (Cergazam)</t>
  </si>
  <si>
    <t>PPE balancing adj</t>
  </si>
  <si>
    <t>Decrease in other current liabilities</t>
  </si>
  <si>
    <t>Cergaz Autohaus (RM100k per mth; RM60k w.e.f Jun 16)</t>
  </si>
  <si>
    <t>Additions of tree plantation (6,600)+(6,600 + 8,992)</t>
  </si>
  <si>
    <t>Acc. depreciation (leasehold land) PLP (RM70,580x2Q)</t>
  </si>
  <si>
    <t>hardie</t>
  </si>
  <si>
    <t>Loss on disposal of PPE Cergazam</t>
  </si>
  <si>
    <t>Gain on disposal of PPE Permaju</t>
  </si>
  <si>
    <t xml:space="preserve">Capital </t>
  </si>
  <si>
    <t>Gain on disposal of PPE Cergaz Auto</t>
  </si>
  <si>
    <t>Gain on disposal of PPE Capital</t>
  </si>
  <si>
    <t>CF</t>
  </si>
  <si>
    <t>Jan</t>
  </si>
  <si>
    <t>Feb</t>
  </si>
  <si>
    <t>Mar</t>
  </si>
  <si>
    <t>Apr</t>
  </si>
  <si>
    <t>May</t>
  </si>
  <si>
    <t>Jun</t>
  </si>
  <si>
    <t>Jul</t>
  </si>
  <si>
    <t>Aug</t>
  </si>
  <si>
    <t xml:space="preserve">Sep </t>
  </si>
  <si>
    <t>Oct</t>
  </si>
  <si>
    <t>Nov</t>
  </si>
  <si>
    <t>Dec</t>
  </si>
  <si>
    <t>1M4U6663</t>
  </si>
  <si>
    <t>Other payables Cergaz DR in other payables 30.06.16</t>
  </si>
  <si>
    <t>c</t>
  </si>
  <si>
    <t>Recov</t>
  </si>
  <si>
    <t>TaxPay</t>
  </si>
  <si>
    <t>Net gain on disposal of property, plant and equipment</t>
  </si>
  <si>
    <t>Decrease in property development costs</t>
  </si>
  <si>
    <t>Cash flows from operations</t>
  </si>
  <si>
    <t>Net cash flows from operating activities</t>
  </si>
  <si>
    <t>Net cash flows used in financing activities</t>
  </si>
  <si>
    <t>Net increase in cash and cash equivalents</t>
  </si>
  <si>
    <t>Non-current borrowings balancing</t>
  </si>
  <si>
    <t>CONSOLIDATED STATEMENTS OF COMPREHENSIVE INCOME FOR THE QUARTER ENDED 30TH SEPTEMBER 2016</t>
  </si>
  <si>
    <t>Current Borrowings - Permaju Finance lease 145,999+78,109</t>
  </si>
  <si>
    <t>Tax paid - Permaju</t>
  </si>
  <si>
    <t>Retained profit - Permaju</t>
  </si>
  <si>
    <t>Retained profit - Hardie overprovision</t>
  </si>
  <si>
    <t>Other payables Hardie</t>
  </si>
  <si>
    <t>CONSOLIDATED STATEMENTS OF COMPREHENSIVE INCOME FOR THE QUARTER ENDED 31ST DECEMBER 2016</t>
  </si>
  <si>
    <t>31.12.16</t>
  </si>
  <si>
    <t>PIB admin - reversal of impairment not required Hasil/Icon/CgzAuto</t>
  </si>
  <si>
    <t>Amount due from subsi (BS)</t>
  </si>
  <si>
    <t>Being to take up post-acquisition loss attributed to NCI (01.01.2016 to 31.12.2016)</t>
  </si>
  <si>
    <t>Non controlling interest (30% x (RM2,277,170) B/S</t>
  </si>
  <si>
    <t>Resi - % sales 31.12.16</t>
  </si>
  <si>
    <t>Non-controlling interest share of 30% amortised RM467,904</t>
  </si>
  <si>
    <t>Balance construction rights 31.12.16</t>
  </si>
  <si>
    <t>Intangible asset/construction rights</t>
  </si>
  <si>
    <t>Fook Ngiap profit 01.01.14 to 31.12.16 (IS)</t>
  </si>
  <si>
    <t>Adj Q4</t>
  </si>
  <si>
    <t>31.12.15</t>
  </si>
  <si>
    <t>30.09.15</t>
  </si>
  <si>
    <t>(3,688,862 (B/S)+4,683,599 (P17) -3,210,885 (P17)-1,472,714 (P28a))</t>
  </si>
  <si>
    <t>Prepaid lease payment (3,978,857 (P18) - 241,052 (P18))</t>
  </si>
  <si>
    <t>Being reclass of Fook Ngiap Sawmill held for sale</t>
  </si>
  <si>
    <t>A41</t>
  </si>
  <si>
    <t>FL4</t>
  </si>
  <si>
    <t>Proceeds from borrowings -FL4</t>
  </si>
  <si>
    <t>Non current Borrowings - Hardie FL4</t>
  </si>
  <si>
    <t>Retained profit - Rintisan</t>
  </si>
  <si>
    <t>Tax recoverable - Rintisan Provision for tax AY2016</t>
  </si>
  <si>
    <t>Tax recoverable (Cergaz Auto) 31.12.16 Tax Pay bal</t>
  </si>
  <si>
    <t>Tax payable (To other payables)</t>
  </si>
  <si>
    <t>Other income - waiver of amount due Hasil/Icon/Cgz Auto</t>
  </si>
  <si>
    <t>Admin expenses - waiver from PIB</t>
  </si>
  <si>
    <t>Elliminate waiver of amount due from subsi</t>
  </si>
  <si>
    <t>31.12.2016</t>
  </si>
  <si>
    <t>Reclass from tax recoverable</t>
  </si>
  <si>
    <t>12 months ended</t>
  </si>
  <si>
    <t>Impairment loss on property, plant and equipment</t>
  </si>
  <si>
    <t>Provision for slow-moving and obsolete inventories</t>
  </si>
  <si>
    <t>For the year ended 31.12.2016</t>
  </si>
  <si>
    <t>Operating loss</t>
  </si>
  <si>
    <t>Loss for the period</t>
  </si>
  <si>
    <t>Basic loss per share attributable</t>
  </si>
  <si>
    <t>Basic loss per share for the period (sen)</t>
  </si>
  <si>
    <t>To take up Fook Ngiap profit from 10.01.14 to 31.12.16 due to reclass from held for sale</t>
  </si>
  <si>
    <t>Resi - % stage of completion Dev cost 31.12.16</t>
  </si>
  <si>
    <t>Decrease in trade and other receivables</t>
  </si>
  <si>
    <t>NOTE 27</t>
  </si>
  <si>
    <t>3 months ended</t>
  </si>
  <si>
    <t>Net loss for the period  (RM'000)</t>
  </si>
  <si>
    <t>Weighted average number of</t>
  </si>
  <si>
    <t xml:space="preserve">     ordinary shares in issue ('000)</t>
  </si>
  <si>
    <t>Basic earnings/(loss) per share (sen)</t>
  </si>
  <si>
    <t>Autohaus</t>
  </si>
  <si>
    <t>Bad debts written off</t>
  </si>
  <si>
    <t>Q4 2016</t>
  </si>
  <si>
    <t>Impairment trade receivables</t>
  </si>
  <si>
    <t>Impairment inventories</t>
  </si>
  <si>
    <t>Total impairment &amp; writte off</t>
  </si>
  <si>
    <t>Genbayu adjustment</t>
  </si>
  <si>
    <t>Income Statement - Impairment of biological assets</t>
  </si>
  <si>
    <t>Balance sheet - Impairment biological assets</t>
  </si>
  <si>
    <t>RM5,870,672 - RM5,503,356 = RM367,316</t>
  </si>
  <si>
    <t>Company level</t>
  </si>
  <si>
    <t>Cergazam adjustment</t>
  </si>
  <si>
    <t>Income statement - income tax AY2016</t>
  </si>
  <si>
    <t>Balance sheet - Tax payable</t>
  </si>
  <si>
    <t>Tax for AY2016</t>
  </si>
  <si>
    <t>Updated</t>
  </si>
  <si>
    <t>Genbayu - impairment</t>
  </si>
  <si>
    <t>Cergazam - AY2106 tax</t>
  </si>
  <si>
    <t>k AY2016</t>
  </si>
  <si>
    <t>Retained profit - Cergazam AY2016</t>
  </si>
  <si>
    <t>Genbayu - Impairment of biological assets</t>
  </si>
  <si>
    <t>A42</t>
  </si>
  <si>
    <t xml:space="preserve">     Impairment on biological assets</t>
  </si>
  <si>
    <t>Cergaz Autohaus - Trade receivables written off in Q4</t>
  </si>
  <si>
    <t>Cergaz Autohaus - Impairment on trade receivables in Q4</t>
  </si>
  <si>
    <t>Capital Intertrade - Trade receivables written off in Q4</t>
  </si>
  <si>
    <t>Inventories</t>
  </si>
  <si>
    <t>Cergaz Autohaus - Provision for slow moving/obsolete inventories in Q4</t>
  </si>
  <si>
    <t>Capital Intertrade - Provision for slow moving/obsolete inventories in Q4</t>
  </si>
  <si>
    <t>A43</t>
  </si>
  <si>
    <t>Impairment on biological assets</t>
  </si>
  <si>
    <t>Refer to P18 - RM3,978,857 - RM241,052 = RM3,737,805</t>
  </si>
  <si>
    <t>Administrative expenses - impairment on conso level (land)</t>
  </si>
  <si>
    <t>Prepaid lease payment - Fook Ngiap (conso level)</t>
  </si>
  <si>
    <t>Being impairment of Fook Ngiap land at conso level</t>
  </si>
  <si>
    <t>22.02.17</t>
  </si>
  <si>
    <t>To revalue Fook Ngiap land to RM5,500,000</t>
  </si>
  <si>
    <t>Net book value at FNS @ 31.12.16 RM3,533,683</t>
  </si>
  <si>
    <t>PPE - Fook Ngiap</t>
  </si>
  <si>
    <t>Being revaluation of Fook Ngiap land to RM5,500,000</t>
  </si>
  <si>
    <t>To revalue Genbayu land to RM55,000,000</t>
  </si>
  <si>
    <t>Net book value at Genbayu @ 31.12.16 RM23,997,244</t>
  </si>
  <si>
    <t>PPE - Genbayu</t>
  </si>
  <si>
    <t>Being revaluation of Genbayu land to RM55,000,000</t>
  </si>
  <si>
    <t>Other comprehensive</t>
  </si>
  <si>
    <t>(Loss)/profit for the period</t>
  </si>
  <si>
    <t>Total comprehenive Profit/(loss) for the period</t>
  </si>
  <si>
    <t>FNS - revaluation land and charged out</t>
  </si>
  <si>
    <t>Genbayu - revaluation of land</t>
  </si>
  <si>
    <t>PPE - Genbayu RM31,002,356</t>
  </si>
  <si>
    <t>PPE - Fook Ngiap RM1,966,317</t>
  </si>
  <si>
    <t>PPE - Fook Ngiap RM3,737,805</t>
  </si>
  <si>
    <t>Merger relief reserve</t>
  </si>
  <si>
    <t>A44</t>
  </si>
  <si>
    <t>Cergaz - impairment loss on warranties  trade receivables</t>
  </si>
  <si>
    <t>Trade receivables - cergaz autohaus</t>
  </si>
  <si>
    <t>A45</t>
  </si>
  <si>
    <t>Investment properties - Rintisan</t>
  </si>
  <si>
    <t>PPE - Rintisan building RM463,125-RM150,284.04</t>
  </si>
  <si>
    <t>PPE - Rintisan land RM243,750-RM28,171.07</t>
  </si>
  <si>
    <t>PPE - Rintisan conso RM131,273</t>
  </si>
  <si>
    <t>Being reclass Rintisan PPE to Investment properties</t>
  </si>
  <si>
    <t>Other comprehensive income - RM2,914,087 reserve b/f for Genbayu land</t>
  </si>
  <si>
    <t>PPE - Genbayu land reserve to OCI</t>
  </si>
  <si>
    <t>Being charge out Genbayu land reserve to OCI</t>
  </si>
  <si>
    <t>OCI - Deferred tax Genbayu 24% on RM31,002,756</t>
  </si>
  <si>
    <t>Deferred tax - Genbayu</t>
  </si>
  <si>
    <t>OCI - Deferred tax Fook Ngiap 24% on RM1,966,317</t>
  </si>
  <si>
    <t>Deferred tax - Fook Ngiap</t>
  </si>
  <si>
    <t>Deferred tax - Reversal of deferred tax on depre Genbayu 24%</t>
  </si>
  <si>
    <t>Depreciation of revalued land - Fook Ngiap RM3,075+RM470+RM2,319</t>
  </si>
  <si>
    <t>Deferred tax - Reversal of deferred tax on depre Fook Ngiap 24%</t>
  </si>
  <si>
    <t>Current Year - income tax expense</t>
  </si>
  <si>
    <t xml:space="preserve">PPE - Genbayu land </t>
  </si>
  <si>
    <t>Depreciation of revalued land - Genbayu 01.10.16 to 31.12.16</t>
  </si>
  <si>
    <t xml:space="preserve">PPE - Fook Ngiap land </t>
  </si>
  <si>
    <t xml:space="preserve">Being deferred tax on Genbayu land reserve RM31,002,756 </t>
  </si>
  <si>
    <t xml:space="preserve">          and Fook Ngiap land RM1,966,317</t>
  </si>
  <si>
    <t>Being to depreciate revalued land 01.10.16 to  31.12.16</t>
  </si>
  <si>
    <t xml:space="preserve">           and reverse on related deferred tax at 24%</t>
  </si>
  <si>
    <t>Revaluation reserve - RM96,251-RM23,100</t>
  </si>
  <si>
    <t>Being realisation of revaluation surpuls</t>
  </si>
  <si>
    <t>Other reserves</t>
  </si>
  <si>
    <t>Other comprehensive income/(loss)</t>
  </si>
  <si>
    <t>Total comprehensive income/(loss)</t>
  </si>
  <si>
    <t>Realisation of revaluation surplus</t>
  </si>
  <si>
    <t>depreciation on FNS RM3,737,805</t>
  </si>
  <si>
    <t>PPE - Genbayu and FNS land</t>
  </si>
  <si>
    <t>A46</t>
  </si>
  <si>
    <t>PPE - Rintisan trf to Investment properties</t>
  </si>
  <si>
    <t>A47</t>
  </si>
  <si>
    <t>A48</t>
  </si>
  <si>
    <t>A49</t>
  </si>
  <si>
    <t>EY-CA#</t>
  </si>
  <si>
    <t>1A</t>
  </si>
  <si>
    <t>1B</t>
  </si>
  <si>
    <t>1D</t>
  </si>
  <si>
    <t>Deferred Tax Asset</t>
  </si>
  <si>
    <t>Consolidation adjustments</t>
  </si>
  <si>
    <t>YE 31 December 2016</t>
  </si>
  <si>
    <t>Share capital - Fook Ngiap Sawmill</t>
  </si>
  <si>
    <t>Merger reserve/Revaluation reserve*</t>
  </si>
  <si>
    <t>Investments in subsidiaries</t>
  </si>
  <si>
    <t>(FNS - Elimination of cost of investment in subsidiary)</t>
  </si>
  <si>
    <t>Share capital - Rintisan Bumi</t>
  </si>
  <si>
    <t xml:space="preserve">Deferred tax </t>
  </si>
  <si>
    <t>(RB - Elimination of cost of investment in subsidiary)</t>
  </si>
  <si>
    <t>1C</t>
  </si>
  <si>
    <t>Share capital - Hardie Development</t>
  </si>
  <si>
    <t xml:space="preserve">Non-controlling interests </t>
  </si>
  <si>
    <t>(HD - Elimination of cost of investment in subsidiary)</t>
  </si>
  <si>
    <t>: Cergazam</t>
  </si>
  <si>
    <t>: Hasil Irama</t>
  </si>
  <si>
    <t>: Iconworld Resources</t>
  </si>
  <si>
    <t>: Capital Intertrade</t>
  </si>
  <si>
    <t>: Cergazam Autoworld</t>
  </si>
  <si>
    <t>: TP Auto</t>
  </si>
  <si>
    <t>: Genbayu Gemilang</t>
  </si>
  <si>
    <t>: Cergaz Autohaus</t>
  </si>
  <si>
    <t>: Team Japs</t>
  </si>
  <si>
    <t>(Others - Elimination of cost of investments in subsidiaries)</t>
  </si>
  <si>
    <t>1E</t>
  </si>
  <si>
    <t>(Fook Ngiap Shipping (disposed of) - Elimination of cost of investment)</t>
  </si>
  <si>
    <t>(Reversal of impairment loss on investments in subsidiaries)</t>
  </si>
  <si>
    <t>(Amortisation and impairment losses on log purchasing rights)</t>
  </si>
  <si>
    <t>Negative goodwill (RB)</t>
  </si>
  <si>
    <t>(Derecognition of negative goodwill as at 1 January 2006 - Adoption of FRS 3 in 2006)</t>
  </si>
  <si>
    <t>Non-controlling interests (HD)</t>
  </si>
  <si>
    <t>(Profits/losses attributable to non-controlling interests)</t>
  </si>
  <si>
    <t>(PPE and IP stated at valuation - RB)</t>
  </si>
  <si>
    <t>6A</t>
  </si>
  <si>
    <t>[Cost RM232,162 - Acc. Dep. RM100,888]</t>
  </si>
  <si>
    <t>(Reclassification from PPE to IP in 2016 - RB)</t>
  </si>
  <si>
    <t>(PPE stated at valuation - GG)</t>
  </si>
  <si>
    <t>7A</t>
  </si>
  <si>
    <t>Equity - Revaluation reserve</t>
  </si>
  <si>
    <t xml:space="preserve">(Revaluation of land - GG) </t>
  </si>
  <si>
    <t>(Deferred tax effect on RS) (RS RM28,088,669 x 24% = RM6,741,280)</t>
  </si>
  <si>
    <t>7B</t>
  </si>
  <si>
    <t>(P/L) Admin exp - Depreciation of PPE</t>
  </si>
  <si>
    <t>(P/L) Deferred tax expense</t>
  </si>
  <si>
    <t>(Depreciation on revaluation surplus)</t>
  </si>
  <si>
    <t>(DT effect on dep on RS)</t>
  </si>
  <si>
    <t>7C</t>
  </si>
  <si>
    <t>Revaluation surplus</t>
  </si>
  <si>
    <t>(Realisation of revaluation surplus) (RM90,387 - RM19,654 = RM70,733)</t>
  </si>
  <si>
    <t>Property, plant and equipment [Cost]</t>
  </si>
  <si>
    <t>(PPE stated at valuation - FNS)</t>
  </si>
  <si>
    <t>8A</t>
  </si>
  <si>
    <t>Admin exp - Depreciation of PPE</t>
  </si>
  <si>
    <t>Deferred tax expense</t>
  </si>
  <si>
    <t>(Depreciation of PPE in 2016 - FNS)</t>
  </si>
  <si>
    <t>Goodwill (HD)</t>
  </si>
  <si>
    <t>(Impairment of goodwill in 2010)</t>
  </si>
  <si>
    <t>(PDC recognised in profit or loss)</t>
  </si>
  <si>
    <t>(IP stated at valuation - SSPP)</t>
  </si>
  <si>
    <t>Payables (Inter-co) (Current)</t>
  </si>
  <si>
    <t>Receivables (Inter-co) (Non-current)</t>
  </si>
  <si>
    <t>Receivables (Inter-co) (Current)</t>
  </si>
  <si>
    <t>(Elimination of inter-company balances as at 31 December 2016)</t>
  </si>
  <si>
    <t>Trade and other receivables (Non-current)</t>
  </si>
  <si>
    <t>Other expenses</t>
  </si>
  <si>
    <t xml:space="preserve">Retained profits </t>
  </si>
  <si>
    <t xml:space="preserve">(Reversal of allowance for impairment on amounts due from subsidiaries) </t>
  </si>
  <si>
    <t>Other income - Management fees (CZM)</t>
  </si>
  <si>
    <t>Other income - Rental income (CZM)</t>
  </si>
  <si>
    <t>Revenue (CI)</t>
  </si>
  <si>
    <t>Revenue (CA)</t>
  </si>
  <si>
    <t>Cost of sales (CI)</t>
  </si>
  <si>
    <t>Cost of sales (CA)</t>
  </si>
  <si>
    <t>: Management fees (CA)</t>
  </si>
  <si>
    <t>: Management fees (CI)</t>
  </si>
  <si>
    <t>: Rental expenses (CA)</t>
  </si>
  <si>
    <t>: Repairs &amp; maintenance (PIB)</t>
  </si>
  <si>
    <t>: Repairs &amp; maintenance (CZM)</t>
  </si>
  <si>
    <t>(Elimination of inter-company transactions)</t>
  </si>
  <si>
    <t>(HD - Reclassification of property development</t>
  </si>
  <si>
    <t>costs to inventories)</t>
  </si>
  <si>
    <t>Note - Merger reserve/Revaluation reserve*</t>
  </si>
  <si>
    <t xml:space="preserve">In 2005, there was a set-off of merger deficit against available revaluation reserve. </t>
  </si>
  <si>
    <t>Thereafter, revaluation reserve = NIL, merger deficit = RM8,141,012</t>
  </si>
  <si>
    <t>Revaluation Reserve</t>
  </si>
  <si>
    <t>31.03.2017</t>
  </si>
  <si>
    <t>FOR THE QUARTER ENDED 31ST MARCH 2017</t>
  </si>
  <si>
    <t>AS AT 31ST MARCH 2017</t>
  </si>
  <si>
    <t>Deferred tax asset</t>
  </si>
  <si>
    <t>Revaluation reserves</t>
  </si>
  <si>
    <t>The condensed consolidated statements of financial position should be read in conjunction with the audited financial statements for the year ended 31st December 2016.</t>
  </si>
  <si>
    <t>31.03.17</t>
  </si>
  <si>
    <t>The condensed consolidated statements of comprehensive income should be read in conjunction with the audited financial statements for the year ended 31st December 2016.</t>
  </si>
  <si>
    <t>Inter-co balances (Liabilities) Genbayu RM10,000</t>
  </si>
  <si>
    <t>Other receivables (Genbayu)</t>
  </si>
  <si>
    <t>Other receivables (Hasil Irama + Iconworld)</t>
  </si>
  <si>
    <t>Non controlling interest (30% x RM472,799) B/S</t>
  </si>
  <si>
    <t>Being to take up post-acquisition loss attributed to NCI (01.01.2017 to 31.03.2017)</t>
  </si>
  <si>
    <t>Cergaz Autohaus (RM100k per mth)</t>
  </si>
  <si>
    <t>(HD - Reclassification of property development costs to inventories Ph1a Residential)</t>
  </si>
  <si>
    <t>Income statement -Cost of sales (70% - owner)</t>
  </si>
  <si>
    <t>Income statement - Cost of sales (30% - NCI)</t>
  </si>
  <si>
    <t>Inventories - Ph1A Residential Type C09,C17,B42</t>
  </si>
  <si>
    <t>Non-controlling interest share of 30% amortised RM159,571</t>
  </si>
  <si>
    <t>nC1</t>
  </si>
  <si>
    <t>nC2</t>
  </si>
  <si>
    <t>nC5</t>
  </si>
  <si>
    <t>nC3</t>
  </si>
  <si>
    <t>nC4</t>
  </si>
  <si>
    <t>nC6</t>
  </si>
  <si>
    <t>Refer nC6:2</t>
  </si>
  <si>
    <t>fr C-IS</t>
  </si>
  <si>
    <t>nC7</t>
  </si>
  <si>
    <t>Being to depreciate revalued land 01.01.17 to  31.03.17</t>
  </si>
  <si>
    <t>Q1</t>
  </si>
  <si>
    <t>Revluation</t>
  </si>
  <si>
    <t>As at 1st January 2017</t>
  </si>
  <si>
    <t>As at 31st March 2017</t>
  </si>
  <si>
    <t>The condensed consolidated statements of changes in equity should be read in conjunction with the audited financial statements for the year ended 31st December 2016.</t>
  </si>
  <si>
    <t>FOR THE FINANCIAL PERIOD ENDED 31ST MARCH 2017</t>
  </si>
  <si>
    <t>Non controlling interest (share of 30% RM472,299 loss in Hardie)</t>
  </si>
  <si>
    <t>Retained earning (share of PDC amortised refer Conso C adjs 6)</t>
  </si>
  <si>
    <t>CFAdj 41 removed</t>
  </si>
  <si>
    <t>Depreciation 01.01.17 to 31.03.17</t>
  </si>
  <si>
    <r>
      <t xml:space="preserve">Tax payables </t>
    </r>
    <r>
      <rPr>
        <strike/>
        <sz val="8"/>
        <color indexed="8"/>
        <rFont val="Arial"/>
        <family val="2"/>
      </rPr>
      <t>(Cergazam)</t>
    </r>
  </si>
  <si>
    <t>The condensed consolidated statements cash flows should be read in conjunction with the audited financial statements for the year ended 31st December 2016.</t>
  </si>
  <si>
    <t>Insurance compensation for stolen equipment</t>
  </si>
  <si>
    <t>Proceeds from insurance compensation for stolen equipment</t>
  </si>
  <si>
    <t>Advances from a director and a related party</t>
  </si>
  <si>
    <t xml:space="preserve">Non current Borrowings </t>
  </si>
  <si>
    <t>Non current Borrowings - balancing</t>
  </si>
  <si>
    <t>TPAuto</t>
  </si>
  <si>
    <t xml:space="preserve">     Insurance compensation for stole equipment</t>
  </si>
  <si>
    <t xml:space="preserve"> Advances from a director and a related party</t>
  </si>
  <si>
    <t>As at 31st March 2016</t>
  </si>
  <si>
    <t>Tax (paid)/refunded</t>
  </si>
  <si>
    <t>Decrease in other current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</si>
</sst>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_(* \(#,##0\);_(* &quot;-&quot;_);_(@_)"/>
    <numFmt numFmtId="165" formatCode="_(* #,##0.00_);_(* \(#,##0.00\);_(* &quot;-&quot;??_);_(@_)"/>
    <numFmt numFmtId="166" formatCode="_(* #,##0.0_);_(* \(#,##0.0\);_(* &quot;-&quot;??_);_(@_)"/>
    <numFmt numFmtId="167" formatCode="_(* #,##0_);_(* \(#,##0\);_(* &quot;-&quot;??_);_(@_)"/>
    <numFmt numFmtId="168" formatCode="#,##0.0000_);\(#,##0.0000\)"/>
    <numFmt numFmtId="169" formatCode="_(* #,##0.00_);_(* \(#,##0.00\);_(* &quot;-&quot;_);_(@_)"/>
    <numFmt numFmtId="170" formatCode="0.0%"/>
  </numFmts>
  <fonts count="75" x14ac:knownFonts="1">
    <font>
      <sz val="10"/>
      <name val="Arial"/>
    </font>
    <font>
      <sz val="10"/>
      <name val="Arial"/>
      <family val="2"/>
    </font>
    <font>
      <sz val="9"/>
      <name val="Arial"/>
      <family val="2"/>
    </font>
    <font>
      <b/>
      <sz val="10"/>
      <name val="Arial"/>
      <family val="2"/>
    </font>
    <font>
      <b/>
      <sz val="9"/>
      <name val="Arial"/>
      <family val="2"/>
    </font>
    <font>
      <b/>
      <sz val="12"/>
      <name val="Arial"/>
      <family val="2"/>
    </font>
    <font>
      <b/>
      <sz val="11"/>
      <name val="Arial"/>
      <family val="2"/>
    </font>
    <font>
      <sz val="8"/>
      <name val="Arial"/>
      <family val="2"/>
    </font>
    <font>
      <sz val="10"/>
      <name val="Arial"/>
      <family val="2"/>
    </font>
    <font>
      <b/>
      <sz val="6"/>
      <name val="Arial"/>
      <family val="2"/>
    </font>
    <font>
      <sz val="6"/>
      <name val="Arial"/>
      <family val="2"/>
    </font>
    <font>
      <sz val="6"/>
      <name val="Arial"/>
      <family val="2"/>
    </font>
    <font>
      <sz val="8"/>
      <name val="Arial"/>
      <family val="2"/>
    </font>
    <font>
      <b/>
      <sz val="8"/>
      <name val="Arial"/>
      <family val="2"/>
    </font>
    <font>
      <u/>
      <sz val="8"/>
      <name val="Arial"/>
      <family val="2"/>
    </font>
    <font>
      <sz val="8"/>
      <color indexed="10"/>
      <name val="Arial"/>
      <family val="2"/>
    </font>
    <font>
      <sz val="8"/>
      <color indexed="8"/>
      <name val="Arial"/>
      <family val="2"/>
    </font>
    <font>
      <sz val="8"/>
      <color indexed="40"/>
      <name val="Arial"/>
      <family val="2"/>
    </font>
    <font>
      <sz val="8"/>
      <color indexed="17"/>
      <name val="Arial"/>
      <family val="2"/>
    </font>
    <font>
      <b/>
      <sz val="8"/>
      <color indexed="8"/>
      <name val="Arial"/>
      <family val="2"/>
    </font>
    <font>
      <b/>
      <sz val="8"/>
      <color indexed="30"/>
      <name val="Arial"/>
      <family val="2"/>
    </font>
    <font>
      <b/>
      <sz val="8"/>
      <color indexed="40"/>
      <name val="Arial"/>
      <family val="2"/>
    </font>
    <font>
      <b/>
      <sz val="8"/>
      <color indexed="10"/>
      <name val="Arial"/>
      <family val="2"/>
    </font>
    <font>
      <b/>
      <sz val="8"/>
      <color indexed="36"/>
      <name val="Arial"/>
      <family val="2"/>
    </font>
    <font>
      <sz val="8"/>
      <name val="Arial"/>
      <family val="2"/>
    </font>
    <font>
      <sz val="8"/>
      <color indexed="10"/>
      <name val="Arial"/>
      <family val="2"/>
    </font>
    <font>
      <sz val="8"/>
      <color indexed="17"/>
      <name val="Arial"/>
      <family val="2"/>
    </font>
    <font>
      <sz val="8"/>
      <color indexed="10"/>
      <name val="Arial"/>
      <family val="2"/>
    </font>
    <font>
      <sz val="8"/>
      <color indexed="30"/>
      <name val="Arial"/>
      <family val="2"/>
    </font>
    <font>
      <b/>
      <sz val="8"/>
      <color indexed="17"/>
      <name val="Arial"/>
      <family val="2"/>
    </font>
    <font>
      <sz val="10"/>
      <color indexed="8"/>
      <name val="Arial"/>
      <family val="2"/>
    </font>
    <font>
      <sz val="8"/>
      <color indexed="81"/>
      <name val="Tahoma"/>
      <family val="2"/>
    </font>
    <font>
      <b/>
      <sz val="10"/>
      <name val="Arial"/>
      <family val="2"/>
    </font>
    <font>
      <sz val="11"/>
      <name val="Times New Roman"/>
      <family val="1"/>
    </font>
    <font>
      <sz val="11"/>
      <color theme="1"/>
      <name val="Calibri"/>
      <family val="2"/>
      <scheme val="minor"/>
    </font>
    <font>
      <u/>
      <sz val="10"/>
      <color theme="10"/>
      <name val="Arial"/>
      <family val="2"/>
    </font>
    <font>
      <sz val="8"/>
      <color rgb="FFFF0000"/>
      <name val="Arial"/>
      <family val="2"/>
    </font>
    <font>
      <sz val="8"/>
      <color rgb="FF00B050"/>
      <name val="Arial"/>
      <family val="2"/>
    </font>
    <font>
      <sz val="8"/>
      <color rgb="FF00B0F0"/>
      <name val="Arial"/>
      <family val="2"/>
    </font>
    <font>
      <b/>
      <sz val="8"/>
      <color rgb="FF00B050"/>
      <name val="Arial"/>
      <family val="2"/>
    </font>
    <font>
      <b/>
      <sz val="8"/>
      <color rgb="FFFF0000"/>
      <name val="Arial"/>
      <family val="2"/>
    </font>
    <font>
      <sz val="8"/>
      <color rgb="FF0070C0"/>
      <name val="Arial"/>
      <family val="2"/>
    </font>
    <font>
      <sz val="8"/>
      <color theme="1"/>
      <name val="Arial"/>
      <family val="2"/>
    </font>
    <font>
      <sz val="10"/>
      <color rgb="FFFF0000"/>
      <name val="Arial"/>
      <family val="2"/>
    </font>
    <font>
      <b/>
      <sz val="10"/>
      <color rgb="FFFF0000"/>
      <name val="Arial"/>
      <family val="2"/>
    </font>
    <font>
      <b/>
      <sz val="10"/>
      <color rgb="FF0070C0"/>
      <name val="Arial"/>
      <family val="2"/>
    </font>
    <font>
      <sz val="6"/>
      <color rgb="FFFF0000"/>
      <name val="Arial"/>
      <family val="2"/>
    </font>
    <font>
      <b/>
      <sz val="8"/>
      <color rgb="FF00B0F0"/>
      <name val="Arial"/>
      <family val="2"/>
    </font>
    <font>
      <sz val="9"/>
      <color rgb="FFFF0000"/>
      <name val="Arial"/>
      <family val="2"/>
    </font>
    <font>
      <b/>
      <sz val="9"/>
      <color rgb="FFFF0000"/>
      <name val="Arial"/>
      <family val="2"/>
    </font>
    <font>
      <b/>
      <sz val="8"/>
      <color theme="1"/>
      <name val="Arial"/>
      <family val="2"/>
    </font>
    <font>
      <sz val="8"/>
      <color rgb="FF7030A0"/>
      <name val="Arial"/>
      <family val="2"/>
    </font>
    <font>
      <b/>
      <sz val="8"/>
      <color indexed="8"/>
      <name val="Arial"/>
      <family val="2"/>
    </font>
    <font>
      <sz val="8"/>
      <color indexed="8"/>
      <name val="Arial"/>
      <family val="2"/>
    </font>
    <font>
      <sz val="8"/>
      <name val="Arial"/>
      <family val="2"/>
    </font>
    <font>
      <b/>
      <sz val="8"/>
      <name val="Arial"/>
      <family val="2"/>
    </font>
    <font>
      <sz val="8"/>
      <color rgb="FF0070C0"/>
      <name val="Arial"/>
      <family val="2"/>
    </font>
    <font>
      <b/>
      <sz val="8"/>
      <color rgb="FF0070C0"/>
      <name val="Arial"/>
      <family val="2"/>
    </font>
    <font>
      <sz val="8"/>
      <color theme="1"/>
      <name val="Arial"/>
      <family val="2"/>
    </font>
    <font>
      <sz val="8"/>
      <color rgb="FF00B0F0"/>
      <name val="Arial"/>
      <family val="2"/>
    </font>
    <font>
      <sz val="8"/>
      <color indexed="10"/>
      <name val="Arial"/>
      <family val="2"/>
    </font>
    <font>
      <sz val="8"/>
      <color rgb="FF00B050"/>
      <name val="Arial"/>
      <family val="2"/>
    </font>
    <font>
      <sz val="8"/>
      <color rgb="FFFF0000"/>
      <name val="Arial"/>
      <family val="2"/>
    </font>
    <font>
      <b/>
      <sz val="8"/>
      <color rgb="FF00B0F0"/>
      <name val="Arial"/>
      <family val="2"/>
    </font>
    <font>
      <sz val="8"/>
      <name val="Arial"/>
      <family val="2"/>
    </font>
    <font>
      <b/>
      <sz val="8"/>
      <name val="Arial"/>
      <family val="2"/>
    </font>
    <font>
      <b/>
      <sz val="8"/>
      <color indexed="8"/>
      <name val="Arial"/>
      <family val="2"/>
    </font>
    <font>
      <b/>
      <sz val="8"/>
      <color rgb="FFFF0000"/>
      <name val="Arial"/>
      <family val="2"/>
    </font>
    <font>
      <sz val="8"/>
      <color indexed="8"/>
      <name val="Arial"/>
      <family val="2"/>
    </font>
    <font>
      <sz val="8"/>
      <color rgb="FFFF0000"/>
      <name val="Arial"/>
      <family val="2"/>
    </font>
    <font>
      <b/>
      <sz val="8"/>
      <color rgb="FF00B050"/>
      <name val="Arial"/>
      <family val="2"/>
    </font>
    <font>
      <b/>
      <sz val="8"/>
      <color rgb="FF0070C0"/>
      <name val="Arial"/>
      <family val="2"/>
    </font>
    <font>
      <b/>
      <sz val="8"/>
      <color indexed="30"/>
      <name val="Arial"/>
      <family val="2"/>
    </font>
    <font>
      <sz val="8"/>
      <color rgb="FF7030A0"/>
      <name val="Arial"/>
      <family val="2"/>
    </font>
    <font>
      <strike/>
      <sz val="8"/>
      <color indexed="8"/>
      <name val="Arial"/>
      <family val="2"/>
    </font>
  </fonts>
  <fills count="13">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39997558519241921"/>
        <bgColor indexed="64"/>
      </patternFill>
    </fill>
  </fills>
  <borders count="34">
    <border>
      <left/>
      <right/>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s>
  <cellStyleXfs count="9">
    <xf numFmtId="0" fontId="0" fillId="0" borderId="0"/>
    <xf numFmtId="165" fontId="1" fillId="0" borderId="0" applyFont="0" applyFill="0" applyBorder="0" applyAlignment="0" applyProtection="0"/>
    <xf numFmtId="165" fontId="34" fillId="0" borderId="0" applyFont="0" applyFill="0" applyBorder="0" applyAlignment="0" applyProtection="0"/>
    <xf numFmtId="165" fontId="8" fillId="0" borderId="0" applyFont="0" applyFill="0" applyBorder="0" applyAlignment="0" applyProtection="0"/>
    <xf numFmtId="0" fontId="35" fillId="0" borderId="0" applyNumberFormat="0" applyFill="0" applyBorder="0" applyAlignment="0" applyProtection="0">
      <alignment vertical="top"/>
      <protection locked="0"/>
    </xf>
    <xf numFmtId="0" fontId="34" fillId="0" borderId="0"/>
    <xf numFmtId="0" fontId="8" fillId="0" borderId="0"/>
    <xf numFmtId="9" fontId="1" fillId="0" borderId="0" applyFont="0" applyFill="0" applyBorder="0" applyAlignment="0" applyProtection="0"/>
    <xf numFmtId="9" fontId="8" fillId="0" borderId="0" applyFont="0" applyFill="0" applyBorder="0" applyAlignment="0" applyProtection="0"/>
  </cellStyleXfs>
  <cellXfs count="638">
    <xf numFmtId="0" fontId="0" fillId="0" borderId="0" xfId="0"/>
    <xf numFmtId="0" fontId="2" fillId="0" borderId="0" xfId="0" applyFont="1"/>
    <xf numFmtId="0" fontId="3" fillId="0" borderId="0" xfId="0" applyFont="1" applyAlignment="1">
      <alignment horizontal="center"/>
    </xf>
    <xf numFmtId="0" fontId="3" fillId="0" borderId="0" xfId="0" applyFont="1"/>
    <xf numFmtId="0" fontId="4" fillId="0" borderId="0" xfId="0" applyFont="1" applyAlignment="1">
      <alignment horizontal="center"/>
    </xf>
    <xf numFmtId="0" fontId="5" fillId="0" borderId="0" xfId="0" applyFont="1" applyAlignment="1">
      <alignment horizontal="center"/>
    </xf>
    <xf numFmtId="0" fontId="5" fillId="0" borderId="0" xfId="0" applyFont="1"/>
    <xf numFmtId="0" fontId="8" fillId="0" borderId="0" xfId="0" applyFont="1"/>
    <xf numFmtId="0" fontId="8" fillId="0" borderId="0" xfId="0" applyFont="1" applyAlignment="1">
      <alignment horizontal="center"/>
    </xf>
    <xf numFmtId="167" fontId="8" fillId="0" borderId="0" xfId="1" applyNumberFormat="1" applyFont="1" applyBorder="1" applyAlignment="1"/>
    <xf numFmtId="167" fontId="8" fillId="0" borderId="1" xfId="1" applyNumberFormat="1" applyFont="1" applyBorder="1" applyAlignment="1"/>
    <xf numFmtId="167" fontId="8" fillId="0" borderId="2" xfId="1" applyNumberFormat="1" applyFont="1" applyBorder="1" applyAlignment="1"/>
    <xf numFmtId="167" fontId="8" fillId="0" borderId="3" xfId="1" applyNumberFormat="1" applyFont="1" applyBorder="1" applyAlignment="1"/>
    <xf numFmtId="0" fontId="3" fillId="0" borderId="0" xfId="0" applyFont="1" applyBorder="1" applyAlignment="1"/>
    <xf numFmtId="0" fontId="5" fillId="0" borderId="0" xfId="0" applyFont="1" applyBorder="1" applyAlignment="1"/>
    <xf numFmtId="165" fontId="5" fillId="0" borderId="0" xfId="1" applyFont="1"/>
    <xf numFmtId="165" fontId="3" fillId="0" borderId="0" xfId="1" applyFont="1"/>
    <xf numFmtId="165" fontId="3" fillId="0" borderId="0" xfId="1" applyFont="1" applyAlignment="1">
      <alignment horizontal="center"/>
    </xf>
    <xf numFmtId="167" fontId="0" fillId="0" borderId="0" xfId="1" applyNumberFormat="1" applyFont="1"/>
    <xf numFmtId="167" fontId="0" fillId="0" borderId="0" xfId="0" applyNumberFormat="1"/>
    <xf numFmtId="0" fontId="0" fillId="0" borderId="0" xfId="0" applyBorder="1"/>
    <xf numFmtId="0" fontId="3" fillId="0" borderId="0" xfId="0" applyFont="1" applyBorder="1" applyAlignment="1">
      <alignment horizontal="center"/>
    </xf>
    <xf numFmtId="0" fontId="3" fillId="0" borderId="0" xfId="0" quotePrefix="1" applyFont="1" applyBorder="1" applyAlignment="1">
      <alignment horizontal="center"/>
    </xf>
    <xf numFmtId="0" fontId="9" fillId="0" borderId="0" xfId="0" applyFont="1"/>
    <xf numFmtId="0" fontId="10" fillId="0" borderId="0" xfId="0" applyFont="1"/>
    <xf numFmtId="0" fontId="7" fillId="0" borderId="0" xfId="0" applyFont="1"/>
    <xf numFmtId="0" fontId="11" fillId="0" borderId="0" xfId="0" applyFont="1"/>
    <xf numFmtId="167" fontId="8" fillId="0" borderId="0" xfId="1" applyNumberFormat="1" applyFont="1"/>
    <xf numFmtId="167" fontId="8" fillId="0" borderId="0" xfId="1" applyNumberFormat="1" applyFont="1" applyBorder="1"/>
    <xf numFmtId="0" fontId="12" fillId="0" borderId="0" xfId="0" applyFont="1" applyBorder="1" applyAlignment="1">
      <alignment horizontal="center"/>
    </xf>
    <xf numFmtId="0" fontId="12" fillId="0" borderId="0" xfId="0" applyFont="1" applyBorder="1" applyAlignment="1"/>
    <xf numFmtId="167" fontId="12" fillId="0" borderId="0" xfId="1" applyNumberFormat="1" applyFont="1" applyBorder="1" applyAlignment="1"/>
    <xf numFmtId="167" fontId="12" fillId="0" borderId="0" xfId="1" applyNumberFormat="1" applyFont="1" applyBorder="1" applyAlignment="1">
      <alignment horizontal="center"/>
    </xf>
    <xf numFmtId="0" fontId="13" fillId="0" borderId="0" xfId="0" applyFont="1" applyBorder="1" applyAlignment="1"/>
    <xf numFmtId="0" fontId="12" fillId="0" borderId="0" xfId="0" applyFont="1" applyFill="1" applyBorder="1" applyAlignment="1"/>
    <xf numFmtId="167" fontId="12" fillId="0" borderId="4" xfId="1" applyNumberFormat="1" applyFont="1" applyBorder="1" applyAlignment="1"/>
    <xf numFmtId="167" fontId="12" fillId="0" borderId="2" xfId="1" applyNumberFormat="1" applyFont="1" applyBorder="1" applyAlignment="1"/>
    <xf numFmtId="167" fontId="12" fillId="0" borderId="3" xfId="1" applyNumberFormat="1" applyFont="1" applyBorder="1" applyAlignment="1"/>
    <xf numFmtId="0" fontId="13" fillId="0" borderId="0" xfId="0" applyFont="1" applyFill="1" applyBorder="1" applyAlignment="1"/>
    <xf numFmtId="167" fontId="12" fillId="0" borderId="5" xfId="1" applyNumberFormat="1" applyFont="1" applyBorder="1" applyAlignment="1"/>
    <xf numFmtId="167" fontId="15" fillId="0" borderId="0" xfId="1" applyNumberFormat="1" applyFont="1" applyBorder="1" applyAlignment="1">
      <alignment horizontal="center"/>
    </xf>
    <xf numFmtId="167" fontId="12" fillId="0" borderId="1" xfId="1" applyNumberFormat="1" applyFont="1" applyBorder="1" applyAlignment="1"/>
    <xf numFmtId="166" fontId="12" fillId="0" borderId="0" xfId="1" applyNumberFormat="1" applyFont="1" applyBorder="1" applyAlignment="1"/>
    <xf numFmtId="167" fontId="12" fillId="0" borderId="0" xfId="1" applyNumberFormat="1" applyFont="1" applyFill="1" applyBorder="1" applyAlignment="1"/>
    <xf numFmtId="165" fontId="12" fillId="0" borderId="0" xfId="1" applyFont="1" applyBorder="1" applyAlignment="1"/>
    <xf numFmtId="167" fontId="13" fillId="0" borderId="0" xfId="1" applyNumberFormat="1" applyFont="1" applyAlignment="1">
      <alignment horizontal="center"/>
    </xf>
    <xf numFmtId="0" fontId="16" fillId="0" borderId="0" xfId="0" applyFont="1"/>
    <xf numFmtId="167" fontId="16" fillId="0" borderId="0" xfId="1" applyNumberFormat="1" applyFont="1"/>
    <xf numFmtId="0" fontId="13" fillId="0" borderId="0" xfId="0" applyFont="1" applyAlignment="1">
      <alignment horizontal="center"/>
    </xf>
    <xf numFmtId="167" fontId="7" fillId="0" borderId="0" xfId="0" applyNumberFormat="1" applyFont="1"/>
    <xf numFmtId="167" fontId="7" fillId="0" borderId="0" xfId="1" applyNumberFormat="1" applyFont="1"/>
    <xf numFmtId="167" fontId="12" fillId="0" borderId="0" xfId="0" applyNumberFormat="1" applyFont="1" applyBorder="1" applyAlignment="1"/>
    <xf numFmtId="167" fontId="7" fillId="0" borderId="0" xfId="1" applyNumberFormat="1" applyFont="1" applyBorder="1" applyAlignment="1"/>
    <xf numFmtId="167" fontId="13" fillId="0" borderId="0" xfId="1" applyNumberFormat="1" applyFont="1" applyBorder="1" applyAlignment="1"/>
    <xf numFmtId="167" fontId="7" fillId="0" borderId="0" xfId="1" applyNumberFormat="1" applyFont="1" applyBorder="1" applyAlignment="1">
      <alignment horizontal="center"/>
    </xf>
    <xf numFmtId="0" fontId="7" fillId="0" borderId="0" xfId="0" applyFont="1" applyFill="1" applyBorder="1" applyAlignment="1"/>
    <xf numFmtId="167" fontId="16" fillId="0" borderId="0" xfId="0" applyNumberFormat="1" applyFont="1"/>
    <xf numFmtId="167" fontId="7" fillId="0" borderId="0" xfId="1" applyNumberFormat="1" applyFont="1" applyFill="1" applyBorder="1" applyAlignment="1"/>
    <xf numFmtId="167" fontId="7" fillId="0" borderId="4" xfId="1" applyNumberFormat="1" applyFont="1" applyBorder="1"/>
    <xf numFmtId="167" fontId="7" fillId="0" borderId="1" xfId="1" applyNumberFormat="1" applyFont="1" applyBorder="1"/>
    <xf numFmtId="167" fontId="13" fillId="0" borderId="0" xfId="1" applyNumberFormat="1" applyFont="1" applyFill="1" applyBorder="1" applyAlignment="1"/>
    <xf numFmtId="167" fontId="19" fillId="0" borderId="0" xfId="1" applyNumberFormat="1" applyFont="1"/>
    <xf numFmtId="167" fontId="16" fillId="0" borderId="0" xfId="1" applyNumberFormat="1" applyFont="1" applyFill="1"/>
    <xf numFmtId="167" fontId="13" fillId="0" borderId="0" xfId="1" applyNumberFormat="1" applyFont="1"/>
    <xf numFmtId="0" fontId="7" fillId="0" borderId="0" xfId="0" applyFont="1" applyBorder="1" applyAlignment="1"/>
    <xf numFmtId="167" fontId="16" fillId="0" borderId="0" xfId="1" applyNumberFormat="1" applyFont="1" applyBorder="1"/>
    <xf numFmtId="167" fontId="7" fillId="0" borderId="2" xfId="1" applyNumberFormat="1" applyFont="1" applyBorder="1"/>
    <xf numFmtId="167" fontId="7" fillId="0" borderId="0" xfId="1" applyNumberFormat="1" applyFont="1" applyBorder="1" applyAlignment="1">
      <alignment horizontal="left"/>
    </xf>
    <xf numFmtId="0" fontId="7" fillId="0" borderId="0" xfId="0" applyFont="1" applyBorder="1" applyAlignment="1">
      <alignment horizontal="center"/>
    </xf>
    <xf numFmtId="167" fontId="17" fillId="0" borderId="0" xfId="1" applyNumberFormat="1" applyFont="1" applyBorder="1" applyAlignment="1">
      <alignment horizontal="center"/>
    </xf>
    <xf numFmtId="167" fontId="12" fillId="0" borderId="2" xfId="0" applyNumberFormat="1" applyFont="1" applyBorder="1" applyAlignment="1"/>
    <xf numFmtId="0" fontId="15" fillId="0" borderId="0" xfId="0" applyFont="1" applyBorder="1" applyAlignment="1">
      <alignment horizontal="center"/>
    </xf>
    <xf numFmtId="0" fontId="17" fillId="0" borderId="0" xfId="0" applyFont="1" applyBorder="1" applyAlignment="1">
      <alignment horizontal="center"/>
    </xf>
    <xf numFmtId="0" fontId="22" fillId="0" borderId="0" xfId="0" applyFont="1" applyAlignment="1">
      <alignment horizontal="center"/>
    </xf>
    <xf numFmtId="0" fontId="21" fillId="0" borderId="0" xfId="0" applyFont="1" applyAlignment="1">
      <alignment horizontal="center"/>
    </xf>
    <xf numFmtId="167" fontId="25" fillId="2" borderId="0" xfId="1" applyNumberFormat="1" applyFont="1" applyFill="1" applyBorder="1" applyAlignment="1"/>
    <xf numFmtId="165" fontId="16" fillId="0" borderId="0" xfId="1" applyFont="1"/>
    <xf numFmtId="165" fontId="16" fillId="0" borderId="0" xfId="1" applyFont="1" applyAlignment="1">
      <alignment horizontal="center"/>
    </xf>
    <xf numFmtId="165" fontId="16" fillId="0" borderId="0" xfId="0" applyNumberFormat="1" applyFont="1"/>
    <xf numFmtId="0" fontId="14" fillId="0" borderId="0" xfId="0" applyFont="1" applyBorder="1" applyAlignment="1">
      <alignment horizontal="center"/>
    </xf>
    <xf numFmtId="165" fontId="19" fillId="0" borderId="0" xfId="1" applyFont="1" applyAlignment="1">
      <alignment horizontal="center"/>
    </xf>
    <xf numFmtId="167" fontId="25" fillId="0" borderId="0" xfId="1" applyNumberFormat="1" applyFont="1" applyBorder="1" applyAlignment="1">
      <alignment horizontal="center"/>
    </xf>
    <xf numFmtId="167" fontId="8" fillId="0" borderId="0" xfId="1" applyNumberFormat="1" applyFont="1" applyAlignment="1">
      <alignment horizontal="right"/>
    </xf>
    <xf numFmtId="167" fontId="3" fillId="0" borderId="0" xfId="1" applyNumberFormat="1" applyFont="1" applyAlignment="1">
      <alignment horizontal="right"/>
    </xf>
    <xf numFmtId="167" fontId="3" fillId="0" borderId="0" xfId="1" applyNumberFormat="1" applyFont="1" applyAlignment="1">
      <alignment horizontal="center"/>
    </xf>
    <xf numFmtId="167" fontId="8" fillId="0" borderId="1" xfId="1" applyNumberFormat="1" applyFont="1" applyBorder="1" applyAlignment="1">
      <alignment horizontal="right"/>
    </xf>
    <xf numFmtId="0" fontId="16" fillId="0" borderId="0" xfId="0" applyFont="1" applyAlignment="1">
      <alignment horizontal="center"/>
    </xf>
    <xf numFmtId="167" fontId="16" fillId="0" borderId="0" xfId="1" applyNumberFormat="1" applyFont="1" applyAlignment="1">
      <alignment horizontal="center"/>
    </xf>
    <xf numFmtId="0" fontId="3" fillId="0" borderId="0" xfId="0" applyFont="1" applyFill="1" applyAlignment="1">
      <alignment horizontal="center"/>
    </xf>
    <xf numFmtId="167" fontId="7" fillId="0" borderId="0" xfId="1" applyNumberFormat="1" applyFont="1" applyFill="1"/>
    <xf numFmtId="0" fontId="26" fillId="0" borderId="0" xfId="0" applyFont="1" applyBorder="1" applyAlignment="1">
      <alignment horizontal="center"/>
    </xf>
    <xf numFmtId="167" fontId="26" fillId="0" borderId="0" xfId="1" applyNumberFormat="1" applyFont="1" applyBorder="1" applyAlignment="1">
      <alignment horizontal="center"/>
    </xf>
    <xf numFmtId="167" fontId="12" fillId="2" borderId="0" xfId="1" applyNumberFormat="1" applyFont="1" applyFill="1" applyBorder="1" applyAlignment="1">
      <alignment horizontal="center"/>
    </xf>
    <xf numFmtId="167" fontId="7" fillId="0" borderId="2" xfId="1" applyNumberFormat="1" applyFont="1" applyBorder="1" applyAlignment="1">
      <alignment horizontal="center"/>
    </xf>
    <xf numFmtId="0" fontId="12" fillId="0" borderId="2" xfId="0" applyFont="1" applyBorder="1" applyAlignment="1"/>
    <xf numFmtId="167" fontId="8" fillId="0" borderId="2" xfId="1" applyNumberFormat="1" applyFont="1" applyBorder="1"/>
    <xf numFmtId="167" fontId="8" fillId="0" borderId="4" xfId="1" applyNumberFormat="1" applyFont="1" applyBorder="1"/>
    <xf numFmtId="167" fontId="27" fillId="0" borderId="0" xfId="1" applyNumberFormat="1" applyFont="1" applyBorder="1" applyAlignment="1"/>
    <xf numFmtId="167" fontId="12" fillId="2" borderId="0" xfId="1" applyNumberFormat="1" applyFont="1" applyFill="1" applyBorder="1" applyAlignment="1"/>
    <xf numFmtId="0" fontId="8" fillId="0" borderId="0" xfId="0" applyFont="1" applyAlignment="1">
      <alignment vertical="justify" wrapText="1"/>
    </xf>
    <xf numFmtId="167" fontId="28" fillId="0" borderId="0" xfId="1" applyNumberFormat="1" applyFont="1" applyBorder="1" applyAlignment="1"/>
    <xf numFmtId="167" fontId="36" fillId="0" borderId="0" xfId="1" applyNumberFormat="1" applyFont="1"/>
    <xf numFmtId="167" fontId="37" fillId="0" borderId="0" xfId="1" applyNumberFormat="1" applyFont="1"/>
    <xf numFmtId="0" fontId="7" fillId="3" borderId="0" xfId="0" applyFont="1" applyFill="1"/>
    <xf numFmtId="167" fontId="38" fillId="0" borderId="0" xfId="1" applyNumberFormat="1" applyFont="1" applyBorder="1" applyAlignment="1">
      <alignment horizontal="center"/>
    </xf>
    <xf numFmtId="167" fontId="13" fillId="0" borderId="0" xfId="1" applyNumberFormat="1" applyFont="1" applyFill="1"/>
    <xf numFmtId="167" fontId="40" fillId="0" borderId="0" xfId="1" applyNumberFormat="1" applyFont="1"/>
    <xf numFmtId="167" fontId="39" fillId="0" borderId="0" xfId="1" applyNumberFormat="1" applyFont="1" applyFill="1"/>
    <xf numFmtId="0" fontId="3" fillId="0" borderId="5" xfId="0" applyFont="1" applyBorder="1" applyAlignment="1"/>
    <xf numFmtId="167" fontId="36" fillId="0" borderId="0" xfId="1" applyNumberFormat="1" applyFont="1" applyBorder="1" applyAlignment="1"/>
    <xf numFmtId="167" fontId="16" fillId="0" borderId="6" xfId="1" applyNumberFormat="1" applyFont="1" applyBorder="1"/>
    <xf numFmtId="167" fontId="16" fillId="0" borderId="5" xfId="1" applyNumberFormat="1" applyFont="1" applyBorder="1"/>
    <xf numFmtId="167" fontId="16" fillId="0" borderId="7" xfId="1" applyNumberFormat="1" applyFont="1" applyBorder="1"/>
    <xf numFmtId="167" fontId="16" fillId="0" borderId="10" xfId="1" applyNumberFormat="1" applyFont="1" applyBorder="1"/>
    <xf numFmtId="167" fontId="16" fillId="0" borderId="11" xfId="1" applyNumberFormat="1" applyFont="1" applyBorder="1"/>
    <xf numFmtId="167" fontId="16" fillId="0" borderId="8" xfId="1" applyNumberFormat="1" applyFont="1" applyBorder="1"/>
    <xf numFmtId="167" fontId="16" fillId="0" borderId="2" xfId="1" applyNumberFormat="1" applyFont="1" applyBorder="1"/>
    <xf numFmtId="167" fontId="16" fillId="0" borderId="9" xfId="1" applyNumberFormat="1" applyFont="1" applyBorder="1"/>
    <xf numFmtId="167" fontId="36" fillId="0" borderId="0" xfId="1" applyNumberFormat="1" applyFont="1" applyBorder="1" applyAlignment="1">
      <alignment horizontal="center"/>
    </xf>
    <xf numFmtId="167" fontId="7" fillId="0" borderId="0" xfId="1" applyNumberFormat="1" applyFont="1" applyBorder="1" applyAlignment="1">
      <alignment horizontal="right"/>
    </xf>
    <xf numFmtId="0" fontId="13" fillId="0" borderId="0" xfId="0" applyFont="1" applyBorder="1" applyAlignment="1">
      <alignment horizontal="right"/>
    </xf>
    <xf numFmtId="167" fontId="12" fillId="0" borderId="13" xfId="0" applyNumberFormat="1" applyFont="1" applyBorder="1" applyAlignment="1"/>
    <xf numFmtId="167" fontId="12" fillId="0" borderId="14" xfId="0" applyNumberFormat="1" applyFont="1" applyBorder="1" applyAlignment="1"/>
    <xf numFmtId="0" fontId="42" fillId="0" borderId="0" xfId="0" applyFont="1"/>
    <xf numFmtId="167" fontId="8" fillId="0" borderId="3" xfId="1" applyNumberFormat="1" applyFont="1" applyBorder="1"/>
    <xf numFmtId="167" fontId="8" fillId="0" borderId="5" xfId="1" applyNumberFormat="1" applyFont="1" applyBorder="1"/>
    <xf numFmtId="169" fontId="0" fillId="0" borderId="0" xfId="0" applyNumberFormat="1"/>
    <xf numFmtId="169" fontId="3" fillId="0" borderId="0" xfId="0" applyNumberFormat="1" applyFont="1"/>
    <xf numFmtId="169" fontId="3" fillId="0" borderId="0" xfId="0" applyNumberFormat="1" applyFont="1" applyAlignment="1">
      <alignment horizontal="center"/>
    </xf>
    <xf numFmtId="169" fontId="8" fillId="0" borderId="0" xfId="0" applyNumberFormat="1" applyFont="1"/>
    <xf numFmtId="169" fontId="0" fillId="0" borderId="0" xfId="0" applyNumberFormat="1" applyBorder="1"/>
    <xf numFmtId="165" fontId="0" fillId="0" borderId="0" xfId="0" applyNumberFormat="1"/>
    <xf numFmtId="165" fontId="0" fillId="0" borderId="0" xfId="0" applyNumberFormat="1" applyBorder="1"/>
    <xf numFmtId="165" fontId="0" fillId="0" borderId="4" xfId="0" applyNumberFormat="1" applyBorder="1"/>
    <xf numFmtId="165" fontId="3" fillId="0" borderId="0" xfId="0" applyNumberFormat="1" applyFont="1" applyAlignment="1">
      <alignment horizontal="center"/>
    </xf>
    <xf numFmtId="169" fontId="8" fillId="0" borderId="6" xfId="0" applyNumberFormat="1" applyFont="1" applyBorder="1"/>
    <xf numFmtId="165" fontId="0" fillId="0" borderId="7" xfId="0" applyNumberFormat="1" applyBorder="1"/>
    <xf numFmtId="169" fontId="8" fillId="0" borderId="10" xfId="0" applyNumberFormat="1" applyFont="1" applyBorder="1"/>
    <xf numFmtId="165" fontId="0" fillId="0" borderId="11" xfId="0" applyNumberFormat="1" applyBorder="1"/>
    <xf numFmtId="169" fontId="8" fillId="0" borderId="8" xfId="0" applyNumberFormat="1" applyFont="1" applyBorder="1"/>
    <xf numFmtId="165" fontId="0" fillId="0" borderId="9" xfId="0" applyNumberFormat="1" applyBorder="1"/>
    <xf numFmtId="0" fontId="30" fillId="0" borderId="0" xfId="0" applyFont="1"/>
    <xf numFmtId="169" fontId="8" fillId="3" borderId="0" xfId="0" applyNumberFormat="1" applyFont="1" applyFill="1"/>
    <xf numFmtId="169" fontId="0" fillId="3" borderId="0" xfId="0" applyNumberFormat="1" applyFill="1"/>
    <xf numFmtId="0" fontId="0" fillId="0" borderId="6" xfId="0" applyBorder="1"/>
    <xf numFmtId="169" fontId="0" fillId="0" borderId="5" xfId="0" applyNumberFormat="1" applyBorder="1"/>
    <xf numFmtId="169" fontId="0" fillId="0" borderId="7" xfId="0" applyNumberFormat="1" applyBorder="1"/>
    <xf numFmtId="0" fontId="0" fillId="0" borderId="10" xfId="0" applyBorder="1"/>
    <xf numFmtId="169" fontId="0" fillId="0" borderId="11" xfId="0" applyNumberFormat="1" applyBorder="1"/>
    <xf numFmtId="0" fontId="8" fillId="0" borderId="10" xfId="0" applyFont="1" applyBorder="1"/>
    <xf numFmtId="0" fontId="8" fillId="0" borderId="8" xfId="0" applyFont="1" applyBorder="1"/>
    <xf numFmtId="169" fontId="0" fillId="0" borderId="2" xfId="0" applyNumberFormat="1" applyBorder="1"/>
    <xf numFmtId="169" fontId="0" fillId="0" borderId="9" xfId="0" applyNumberFormat="1" applyBorder="1"/>
    <xf numFmtId="0" fontId="36" fillId="0" borderId="0" xfId="0" applyFont="1"/>
    <xf numFmtId="164" fontId="0" fillId="0" borderId="0" xfId="0" applyNumberFormat="1"/>
    <xf numFmtId="164" fontId="0" fillId="0" borderId="4" xfId="0" applyNumberFormat="1" applyBorder="1"/>
    <xf numFmtId="164" fontId="0" fillId="0" borderId="1" xfId="0" applyNumberFormat="1" applyBorder="1"/>
    <xf numFmtId="164" fontId="0" fillId="0" borderId="0" xfId="0" applyNumberFormat="1" applyBorder="1"/>
    <xf numFmtId="0" fontId="3" fillId="0" borderId="0" xfId="0" applyFont="1" applyBorder="1"/>
    <xf numFmtId="0" fontId="4" fillId="0" borderId="0" xfId="0" applyFont="1" applyFill="1" applyAlignment="1">
      <alignment horizontal="center"/>
    </xf>
    <xf numFmtId="167" fontId="8" fillId="0" borderId="16" xfId="1" applyNumberFormat="1" applyFont="1" applyBorder="1"/>
    <xf numFmtId="0" fontId="7" fillId="0" borderId="0" xfId="0" applyFont="1" applyAlignment="1">
      <alignment horizontal="right"/>
    </xf>
    <xf numFmtId="165" fontId="7" fillId="0" borderId="0" xfId="1" applyFont="1"/>
    <xf numFmtId="167" fontId="16" fillId="0" borderId="0" xfId="1" applyNumberFormat="1" applyFont="1" applyAlignment="1">
      <alignment horizontal="right"/>
    </xf>
    <xf numFmtId="167" fontId="16" fillId="0" borderId="13" xfId="1" applyNumberFormat="1" applyFont="1" applyBorder="1"/>
    <xf numFmtId="167" fontId="16" fillId="0" borderId="14" xfId="1" applyNumberFormat="1" applyFont="1" applyBorder="1"/>
    <xf numFmtId="167" fontId="16" fillId="0" borderId="4" xfId="1" applyNumberFormat="1" applyFont="1" applyBorder="1"/>
    <xf numFmtId="167" fontId="7" fillId="3" borderId="0" xfId="1" applyNumberFormat="1" applyFont="1" applyFill="1"/>
    <xf numFmtId="165" fontId="0" fillId="0" borderId="0" xfId="1" applyFont="1"/>
    <xf numFmtId="165" fontId="0" fillId="0" borderId="2" xfId="1" applyFont="1" applyBorder="1"/>
    <xf numFmtId="0" fontId="0" fillId="0" borderId="2" xfId="0" applyBorder="1"/>
    <xf numFmtId="167" fontId="0" fillId="0" borderId="2" xfId="1" applyNumberFormat="1" applyFont="1" applyBorder="1"/>
    <xf numFmtId="165" fontId="0" fillId="0" borderId="4" xfId="1" applyFont="1" applyBorder="1"/>
    <xf numFmtId="167" fontId="0" fillId="0" borderId="4" xfId="1" applyNumberFormat="1" applyFont="1" applyBorder="1"/>
    <xf numFmtId="43" fontId="0" fillId="0" borderId="0" xfId="0" applyNumberFormat="1"/>
    <xf numFmtId="43" fontId="0" fillId="0" borderId="2" xfId="0" applyNumberFormat="1" applyBorder="1"/>
    <xf numFmtId="165" fontId="0" fillId="0" borderId="2" xfId="0" applyNumberFormat="1" applyBorder="1"/>
    <xf numFmtId="0" fontId="0" fillId="0" borderId="0" xfId="0" applyAlignment="1">
      <alignment horizontal="center"/>
    </xf>
    <xf numFmtId="0" fontId="0" fillId="3" borderId="0" xfId="0" applyFill="1" applyAlignment="1">
      <alignment horizontal="center"/>
    </xf>
    <xf numFmtId="167" fontId="0" fillId="0" borderId="2" xfId="0" applyNumberFormat="1" applyBorder="1"/>
    <xf numFmtId="0" fontId="0" fillId="0" borderId="13" xfId="0" applyBorder="1" applyAlignment="1">
      <alignment horizontal="center"/>
    </xf>
    <xf numFmtId="0" fontId="0" fillId="0" borderId="14" xfId="0" applyBorder="1" applyAlignment="1">
      <alignment horizontal="center"/>
    </xf>
    <xf numFmtId="167" fontId="7" fillId="2" borderId="0" xfId="1" applyNumberFormat="1" applyFont="1" applyFill="1" applyBorder="1" applyAlignment="1"/>
    <xf numFmtId="37" fontId="8" fillId="0" borderId="0" xfId="0" applyNumberFormat="1" applyFont="1"/>
    <xf numFmtId="167" fontId="7" fillId="0" borderId="1" xfId="1" applyNumberFormat="1" applyFont="1" applyBorder="1" applyAlignment="1"/>
    <xf numFmtId="165" fontId="7" fillId="0" borderId="0" xfId="1" applyFont="1" applyBorder="1" applyAlignment="1"/>
    <xf numFmtId="0" fontId="43" fillId="0" borderId="0" xfId="0" applyFont="1" applyAlignment="1">
      <alignment horizontal="center"/>
    </xf>
    <xf numFmtId="0" fontId="43" fillId="0" borderId="0" xfId="0" applyFont="1" applyAlignment="1">
      <alignment vertical="justify" wrapText="1"/>
    </xf>
    <xf numFmtId="0" fontId="43" fillId="0" borderId="0" xfId="0" applyFont="1"/>
    <xf numFmtId="167" fontId="16" fillId="3" borderId="0" xfId="1" applyNumberFormat="1" applyFont="1" applyFill="1"/>
    <xf numFmtId="0" fontId="7" fillId="0" borderId="0" xfId="0" applyFont="1" applyFill="1"/>
    <xf numFmtId="167" fontId="7" fillId="3" borderId="0" xfId="1" applyNumberFormat="1" applyFont="1" applyFill="1" applyBorder="1" applyAlignment="1">
      <alignment horizontal="center"/>
    </xf>
    <xf numFmtId="167" fontId="22" fillId="0" borderId="0" xfId="1" applyNumberFormat="1" applyFont="1" applyFill="1"/>
    <xf numFmtId="164" fontId="0" fillId="0" borderId="2" xfId="0" applyNumberFormat="1" applyBorder="1"/>
    <xf numFmtId="165" fontId="0" fillId="0" borderId="0" xfId="1" applyNumberFormat="1" applyFont="1"/>
    <xf numFmtId="0" fontId="44" fillId="0" borderId="0" xfId="0" applyFont="1" applyAlignment="1">
      <alignment horizontal="center"/>
    </xf>
    <xf numFmtId="167" fontId="43" fillId="0" borderId="0" xfId="1" applyNumberFormat="1" applyFont="1"/>
    <xf numFmtId="164" fontId="8" fillId="0" borderId="0" xfId="0" applyNumberFormat="1" applyFont="1" applyAlignment="1">
      <alignment horizontal="center"/>
    </xf>
    <xf numFmtId="164" fontId="8" fillId="0" borderId="17" xfId="0" applyNumberFormat="1" applyFont="1" applyBorder="1" applyAlignment="1">
      <alignment horizontal="center"/>
    </xf>
    <xf numFmtId="164" fontId="8" fillId="0" borderId="18" xfId="0" applyNumberFormat="1" applyFont="1" applyBorder="1" applyAlignment="1">
      <alignment horizontal="center"/>
    </xf>
    <xf numFmtId="164" fontId="8" fillId="0" borderId="15" xfId="0" applyNumberFormat="1" applyFont="1" applyBorder="1" applyAlignment="1">
      <alignment horizontal="center"/>
    </xf>
    <xf numFmtId="164" fontId="8" fillId="0" borderId="15" xfId="0" applyNumberFormat="1" applyFont="1" applyBorder="1"/>
    <xf numFmtId="164" fontId="13" fillId="0" borderId="0" xfId="0" applyNumberFormat="1" applyFont="1" applyBorder="1" applyAlignment="1"/>
    <xf numFmtId="164" fontId="8" fillId="0" borderId="0" xfId="0" applyNumberFormat="1" applyFont="1"/>
    <xf numFmtId="164" fontId="7" fillId="0" borderId="0" xfId="0" applyNumberFormat="1" applyFont="1" applyBorder="1" applyAlignment="1"/>
    <xf numFmtId="164" fontId="7" fillId="0" borderId="0" xfId="0" applyNumberFormat="1" applyFont="1" applyFill="1" applyBorder="1" applyAlignment="1"/>
    <xf numFmtId="164" fontId="8" fillId="0" borderId="0" xfId="0" applyNumberFormat="1" applyFont="1" applyBorder="1"/>
    <xf numFmtId="164" fontId="13" fillId="0" borderId="0" xfId="0" applyNumberFormat="1" applyFont="1" applyFill="1" applyBorder="1" applyAlignment="1"/>
    <xf numFmtId="164" fontId="12" fillId="0" borderId="0" xfId="0" applyNumberFormat="1" applyFont="1" applyBorder="1" applyAlignment="1"/>
    <xf numFmtId="167" fontId="7" fillId="0" borderId="2" xfId="1" applyNumberFormat="1" applyFont="1" applyBorder="1" applyAlignment="1"/>
    <xf numFmtId="0" fontId="12" fillId="0" borderId="6" xfId="0" applyFont="1" applyBorder="1" applyAlignment="1"/>
    <xf numFmtId="0" fontId="12" fillId="0" borderId="5" xfId="0" applyFont="1" applyBorder="1" applyAlignment="1"/>
    <xf numFmtId="0" fontId="12" fillId="0" borderId="7" xfId="0" applyFont="1" applyBorder="1" applyAlignment="1"/>
    <xf numFmtId="0" fontId="12" fillId="0" borderId="10" xfId="0" applyFont="1" applyBorder="1" applyAlignment="1">
      <alignment horizontal="center"/>
    </xf>
    <xf numFmtId="0" fontId="12" fillId="0" borderId="11" xfId="0" applyFont="1" applyBorder="1" applyAlignment="1">
      <alignment horizontal="center"/>
    </xf>
    <xf numFmtId="0" fontId="7" fillId="0" borderId="8" xfId="0" applyFont="1" applyBorder="1" applyAlignment="1">
      <alignment horizontal="center"/>
    </xf>
    <xf numFmtId="0" fontId="7" fillId="0" borderId="2" xfId="0" applyFont="1" applyBorder="1" applyAlignment="1">
      <alignment horizontal="center"/>
    </xf>
    <xf numFmtId="0" fontId="7" fillId="0" borderId="9" xfId="0" applyFont="1" applyBorder="1" applyAlignment="1">
      <alignment horizontal="center"/>
    </xf>
    <xf numFmtId="0" fontId="7" fillId="3" borderId="7" xfId="0" applyFont="1" applyFill="1" applyBorder="1" applyAlignment="1">
      <alignment horizontal="center"/>
    </xf>
    <xf numFmtId="0" fontId="12" fillId="3" borderId="11" xfId="0" applyFont="1" applyFill="1" applyBorder="1" applyAlignment="1">
      <alignment horizontal="center"/>
    </xf>
    <xf numFmtId="0" fontId="7" fillId="3" borderId="9" xfId="0" applyFont="1" applyFill="1" applyBorder="1" applyAlignment="1">
      <alignment horizontal="center"/>
    </xf>
    <xf numFmtId="167" fontId="7" fillId="0" borderId="10" xfId="1" applyNumberFormat="1" applyFont="1" applyBorder="1" applyAlignment="1"/>
    <xf numFmtId="167" fontId="7" fillId="0" borderId="11" xfId="1" applyNumberFormat="1" applyFont="1" applyBorder="1" applyAlignment="1"/>
    <xf numFmtId="167" fontId="7" fillId="0" borderId="8" xfId="1" applyNumberFormat="1" applyFont="1" applyBorder="1" applyAlignment="1"/>
    <xf numFmtId="167" fontId="7" fillId="0" borderId="9" xfId="1" applyNumberFormat="1" applyFont="1" applyBorder="1" applyAlignment="1"/>
    <xf numFmtId="167" fontId="7" fillId="0" borderId="19" xfId="1" applyNumberFormat="1" applyFont="1" applyBorder="1" applyAlignment="1"/>
    <xf numFmtId="167" fontId="7" fillId="0" borderId="20" xfId="1" applyNumberFormat="1" applyFont="1" applyBorder="1" applyAlignment="1"/>
    <xf numFmtId="165" fontId="7" fillId="0" borderId="10" xfId="1" applyFont="1" applyBorder="1" applyAlignment="1"/>
    <xf numFmtId="165" fontId="7" fillId="0" borderId="11" xfId="1" applyFont="1" applyBorder="1" applyAlignment="1"/>
    <xf numFmtId="167" fontId="7" fillId="0" borderId="17" xfId="1" applyNumberFormat="1" applyFont="1" applyBorder="1" applyAlignment="1"/>
    <xf numFmtId="167" fontId="7" fillId="0" borderId="4" xfId="1" applyNumberFormat="1" applyFont="1" applyBorder="1" applyAlignment="1"/>
    <xf numFmtId="167" fontId="7" fillId="0" borderId="18" xfId="1" applyNumberFormat="1" applyFont="1" applyBorder="1" applyAlignment="1"/>
    <xf numFmtId="0" fontId="7" fillId="3" borderId="13" xfId="0" applyFont="1" applyFill="1" applyBorder="1" applyAlignment="1">
      <alignment horizontal="center"/>
    </xf>
    <xf numFmtId="0" fontId="12" fillId="3" borderId="21" xfId="0" applyFont="1" applyFill="1" applyBorder="1" applyAlignment="1">
      <alignment horizontal="center"/>
    </xf>
    <xf numFmtId="0" fontId="7" fillId="3" borderId="21" xfId="0" applyFont="1" applyFill="1" applyBorder="1" applyAlignment="1">
      <alignment horizontal="center"/>
    </xf>
    <xf numFmtId="0" fontId="12" fillId="0" borderId="21" xfId="0" applyFont="1" applyBorder="1" applyAlignment="1"/>
    <xf numFmtId="164" fontId="12" fillId="0" borderId="21" xfId="0" applyNumberFormat="1" applyFont="1" applyBorder="1" applyAlignment="1"/>
    <xf numFmtId="164" fontId="12" fillId="0" borderId="14" xfId="0" applyNumberFormat="1" applyFont="1" applyBorder="1" applyAlignment="1"/>
    <xf numFmtId="167" fontId="7" fillId="0" borderId="21" xfId="1" applyNumberFormat="1" applyFont="1" applyBorder="1" applyAlignment="1"/>
    <xf numFmtId="167" fontId="7" fillId="0" borderId="22" xfId="1" applyNumberFormat="1" applyFont="1" applyBorder="1" applyAlignment="1"/>
    <xf numFmtId="167" fontId="7" fillId="0" borderId="15" xfId="1" applyNumberFormat="1" applyFont="1" applyBorder="1" applyAlignment="1"/>
    <xf numFmtId="37" fontId="43" fillId="0" borderId="0" xfId="0" applyNumberFormat="1" applyFont="1"/>
    <xf numFmtId="37" fontId="43" fillId="0" borderId="0" xfId="0" applyNumberFormat="1" applyFont="1" applyBorder="1"/>
    <xf numFmtId="167" fontId="7" fillId="0" borderId="2" xfId="1" applyNumberFormat="1" applyFont="1" applyFill="1" applyBorder="1" applyAlignment="1"/>
    <xf numFmtId="0" fontId="7" fillId="4" borderId="0" xfId="0" applyFont="1" applyFill="1"/>
    <xf numFmtId="167" fontId="8" fillId="0" borderId="2" xfId="1" applyNumberFormat="1" applyFont="1" applyFill="1" applyBorder="1" applyAlignment="1"/>
    <xf numFmtId="167" fontId="8" fillId="0" borderId="0" xfId="1" applyNumberFormat="1" applyFont="1" applyFill="1" applyBorder="1" applyAlignment="1"/>
    <xf numFmtId="167" fontId="41" fillId="0" borderId="0" xfId="1" applyNumberFormat="1" applyFont="1"/>
    <xf numFmtId="167" fontId="13" fillId="0" borderId="0" xfId="0" applyNumberFormat="1" applyFont="1" applyBorder="1" applyAlignment="1"/>
    <xf numFmtId="167" fontId="13" fillId="0" borderId="4" xfId="0" applyNumberFormat="1" applyFont="1" applyBorder="1"/>
    <xf numFmtId="43" fontId="7" fillId="0" borderId="0" xfId="0" applyNumberFormat="1" applyFont="1"/>
    <xf numFmtId="167" fontId="12" fillId="3" borderId="0" xfId="1" applyNumberFormat="1" applyFont="1" applyFill="1" applyBorder="1" applyAlignment="1"/>
    <xf numFmtId="167" fontId="7" fillId="3" borderId="2" xfId="1" applyNumberFormat="1" applyFont="1" applyFill="1" applyBorder="1"/>
    <xf numFmtId="167" fontId="7" fillId="3" borderId="0" xfId="1" applyNumberFormat="1" applyFont="1" applyFill="1" applyBorder="1" applyAlignment="1"/>
    <xf numFmtId="0" fontId="16" fillId="3" borderId="0" xfId="0" applyFont="1" applyFill="1"/>
    <xf numFmtId="167" fontId="12" fillId="3" borderId="0" xfId="1" applyNumberFormat="1" applyFont="1" applyFill="1" applyBorder="1" applyAlignment="1">
      <alignment horizontal="center"/>
    </xf>
    <xf numFmtId="167" fontId="40" fillId="0" borderId="0" xfId="1" applyNumberFormat="1" applyFont="1" applyFill="1"/>
    <xf numFmtId="165" fontId="8" fillId="0" borderId="0" xfId="1" applyFont="1"/>
    <xf numFmtId="167" fontId="8" fillId="0" borderId="1" xfId="1" applyNumberFormat="1" applyFont="1" applyBorder="1"/>
    <xf numFmtId="165" fontId="43" fillId="0" borderId="0" xfId="1" applyFont="1"/>
    <xf numFmtId="167" fontId="44" fillId="0" borderId="0" xfId="1" applyNumberFormat="1" applyFont="1" applyAlignment="1">
      <alignment horizontal="center"/>
    </xf>
    <xf numFmtId="165" fontId="43" fillId="0" borderId="0" xfId="1" applyFont="1" applyBorder="1"/>
    <xf numFmtId="0" fontId="9" fillId="0" borderId="0" xfId="0" applyFont="1" applyAlignment="1">
      <alignment horizontal="center"/>
    </xf>
    <xf numFmtId="0" fontId="7" fillId="0" borderId="0" xfId="0" applyFont="1" applyAlignment="1">
      <alignment horizontal="center"/>
    </xf>
    <xf numFmtId="164" fontId="8" fillId="0" borderId="4" xfId="0" applyNumberFormat="1" applyFont="1" applyBorder="1" applyAlignment="1">
      <alignment horizontal="center"/>
    </xf>
    <xf numFmtId="164" fontId="8" fillId="3" borderId="0" xfId="0" applyNumberFormat="1" applyFont="1" applyFill="1"/>
    <xf numFmtId="164" fontId="0" fillId="3" borderId="0" xfId="0" applyNumberFormat="1" applyFill="1"/>
    <xf numFmtId="164" fontId="0" fillId="5" borderId="0" xfId="0" applyNumberFormat="1" applyFill="1"/>
    <xf numFmtId="164" fontId="0" fillId="6" borderId="0" xfId="0" applyNumberFormat="1" applyFill="1"/>
    <xf numFmtId="164" fontId="0" fillId="0" borderId="0" xfId="0" applyNumberFormat="1" applyFill="1"/>
    <xf numFmtId="164" fontId="45" fillId="0" borderId="0" xfId="0" applyNumberFormat="1" applyFont="1" applyFill="1"/>
    <xf numFmtId="164" fontId="45" fillId="0" borderId="0" xfId="0" applyNumberFormat="1" applyFont="1"/>
    <xf numFmtId="164" fontId="0" fillId="0" borderId="0" xfId="0" applyNumberFormat="1" applyAlignment="1">
      <alignment horizontal="center"/>
    </xf>
    <xf numFmtId="164" fontId="8" fillId="7" borderId="0" xfId="0" applyNumberFormat="1" applyFont="1" applyFill="1"/>
    <xf numFmtId="164" fontId="0" fillId="7" borderId="0" xfId="0" applyNumberFormat="1" applyFill="1"/>
    <xf numFmtId="0" fontId="44" fillId="0" borderId="0" xfId="0" applyFont="1"/>
    <xf numFmtId="167" fontId="43" fillId="0" borderId="0" xfId="0" applyNumberFormat="1" applyFont="1"/>
    <xf numFmtId="167" fontId="7" fillId="0" borderId="6" xfId="1" applyNumberFormat="1" applyFont="1" applyBorder="1" applyAlignment="1">
      <alignment horizontal="center"/>
    </xf>
    <xf numFmtId="167" fontId="7" fillId="0" borderId="5" xfId="1" applyNumberFormat="1" applyFont="1" applyBorder="1" applyAlignment="1">
      <alignment horizontal="center"/>
    </xf>
    <xf numFmtId="167" fontId="7" fillId="3" borderId="7" xfId="1" applyNumberFormat="1" applyFont="1" applyFill="1" applyBorder="1" applyAlignment="1">
      <alignment horizontal="center"/>
    </xf>
    <xf numFmtId="167" fontId="7" fillId="0" borderId="8" xfId="1" applyNumberFormat="1" applyFont="1" applyBorder="1" applyAlignment="1">
      <alignment horizontal="center"/>
    </xf>
    <xf numFmtId="167" fontId="7" fillId="0" borderId="9" xfId="1" applyNumberFormat="1" applyFont="1" applyBorder="1" applyAlignment="1">
      <alignment horizontal="center"/>
    </xf>
    <xf numFmtId="167" fontId="17" fillId="0" borderId="2" xfId="1" applyNumberFormat="1" applyFont="1" applyBorder="1" applyAlignment="1">
      <alignment horizontal="center"/>
    </xf>
    <xf numFmtId="167" fontId="17" fillId="0" borderId="9" xfId="1" applyNumberFormat="1" applyFont="1" applyBorder="1" applyAlignment="1">
      <alignment horizontal="center"/>
    </xf>
    <xf numFmtId="167" fontId="17" fillId="0" borderId="8" xfId="1" applyNumberFormat="1" applyFont="1" applyBorder="1" applyAlignment="1">
      <alignment horizontal="center"/>
    </xf>
    <xf numFmtId="167" fontId="15" fillId="0" borderId="8" xfId="1" applyNumberFormat="1" applyFont="1" applyBorder="1" applyAlignment="1">
      <alignment horizontal="center"/>
    </xf>
    <xf numFmtId="167" fontId="15" fillId="0" borderId="2" xfId="1" applyNumberFormat="1" applyFont="1" applyBorder="1" applyAlignment="1">
      <alignment horizontal="center"/>
    </xf>
    <xf numFmtId="167" fontId="15" fillId="0" borderId="9" xfId="1" applyNumberFormat="1" applyFont="1" applyBorder="1" applyAlignment="1">
      <alignment horizontal="center"/>
    </xf>
    <xf numFmtId="167" fontId="7" fillId="3" borderId="2" xfId="1" applyNumberFormat="1" applyFont="1" applyFill="1" applyBorder="1" applyAlignment="1"/>
    <xf numFmtId="167" fontId="15" fillId="0" borderId="6" xfId="1" applyNumberFormat="1" applyFont="1" applyBorder="1" applyAlignment="1">
      <alignment horizontal="center"/>
    </xf>
    <xf numFmtId="167" fontId="15" fillId="0" borderId="5" xfId="1" applyNumberFormat="1" applyFont="1" applyBorder="1" applyAlignment="1">
      <alignment horizontal="center"/>
    </xf>
    <xf numFmtId="167" fontId="40" fillId="0" borderId="4" xfId="1" applyNumberFormat="1" applyFont="1" applyBorder="1"/>
    <xf numFmtId="167" fontId="32" fillId="0" borderId="0" xfId="0" applyNumberFormat="1" applyFont="1" applyAlignment="1">
      <alignment vertical="top" wrapText="1"/>
    </xf>
    <xf numFmtId="0" fontId="32" fillId="0" borderId="0" xfId="0" applyFont="1" applyAlignment="1">
      <alignment vertical="top" wrapText="1"/>
    </xf>
    <xf numFmtId="0" fontId="0" fillId="0" borderId="0" xfId="0" applyAlignment="1">
      <alignment vertical="top" wrapText="1"/>
    </xf>
    <xf numFmtId="167" fontId="0" fillId="0" borderId="0" xfId="0" applyNumberFormat="1" applyAlignment="1">
      <alignment vertical="top" wrapText="1"/>
    </xf>
    <xf numFmtId="167" fontId="0" fillId="0" borderId="23" xfId="0" applyNumberFormat="1"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2" fillId="0" borderId="0" xfId="0" applyFont="1" applyAlignment="1">
      <alignment horizontal="center" vertical="top" wrapText="1"/>
    </xf>
    <xf numFmtId="0" fontId="0" fillId="0" borderId="0" xfId="0" applyAlignment="1">
      <alignment horizontal="center" vertical="top" wrapText="1"/>
    </xf>
    <xf numFmtId="167" fontId="32" fillId="0" borderId="0" xfId="0" applyNumberFormat="1" applyFont="1" applyAlignment="1">
      <alignment horizontal="center" vertical="top" wrapText="1"/>
    </xf>
    <xf numFmtId="0" fontId="0" fillId="0" borderId="24" xfId="0" applyBorder="1" applyAlignment="1">
      <alignment horizontal="center" vertical="top" wrapText="1"/>
    </xf>
    <xf numFmtId="0" fontId="0" fillId="0" borderId="30" xfId="0" applyBorder="1" applyAlignment="1">
      <alignment horizontal="center" vertical="top" wrapText="1"/>
    </xf>
    <xf numFmtId="167" fontId="35" fillId="0" borderId="31" xfId="4" applyNumberFormat="1" applyBorder="1" applyAlignment="1" applyProtection="1">
      <alignment horizontal="center" vertical="top" wrapText="1"/>
    </xf>
    <xf numFmtId="0" fontId="0" fillId="0" borderId="27" xfId="0" applyBorder="1" applyAlignment="1">
      <alignment horizontal="center" vertical="top" wrapText="1"/>
    </xf>
    <xf numFmtId="167" fontId="35" fillId="0" borderId="32" xfId="4" applyNumberFormat="1" applyBorder="1" applyAlignment="1" applyProtection="1">
      <alignment horizontal="center" vertical="top" wrapText="1"/>
    </xf>
    <xf numFmtId="0" fontId="0" fillId="0" borderId="29" xfId="0" applyBorder="1" applyAlignment="1">
      <alignment horizontal="center" vertical="top" wrapText="1"/>
    </xf>
    <xf numFmtId="0" fontId="0" fillId="0" borderId="33" xfId="0" applyBorder="1" applyAlignment="1">
      <alignment horizontal="center" vertical="top" wrapText="1"/>
    </xf>
    <xf numFmtId="0" fontId="8" fillId="0" borderId="0" xfId="0" applyFont="1" applyAlignment="1"/>
    <xf numFmtId="167" fontId="7" fillId="0" borderId="0" xfId="1" applyNumberFormat="1" applyFont="1" applyFill="1" applyBorder="1" applyAlignment="1">
      <alignment horizontal="center"/>
    </xf>
    <xf numFmtId="164" fontId="7" fillId="0" borderId="0" xfId="0" applyNumberFormat="1" applyFont="1"/>
    <xf numFmtId="164" fontId="7" fillId="0" borderId="2" xfId="0" applyNumberFormat="1" applyFont="1" applyBorder="1"/>
    <xf numFmtId="167" fontId="16" fillId="0" borderId="21" xfId="1" applyNumberFormat="1" applyFont="1" applyBorder="1"/>
    <xf numFmtId="167" fontId="41" fillId="0" borderId="9" xfId="1" applyNumberFormat="1" applyFont="1" applyBorder="1"/>
    <xf numFmtId="167" fontId="37" fillId="0" borderId="6" xfId="1" applyNumberFormat="1" applyFont="1" applyBorder="1"/>
    <xf numFmtId="167" fontId="40" fillId="3" borderId="0" xfId="1" applyNumberFormat="1" applyFont="1" applyFill="1"/>
    <xf numFmtId="167" fontId="36" fillId="3" borderId="0" xfId="1" applyNumberFormat="1" applyFont="1" applyFill="1"/>
    <xf numFmtId="0" fontId="7" fillId="6" borderId="0" xfId="0" applyFont="1" applyFill="1"/>
    <xf numFmtId="0" fontId="16" fillId="6" borderId="0" xfId="0" applyFont="1" applyFill="1"/>
    <xf numFmtId="167" fontId="43" fillId="0" borderId="0" xfId="1" applyNumberFormat="1" applyFont="1" applyBorder="1"/>
    <xf numFmtId="0" fontId="46" fillId="0" borderId="0" xfId="0" applyFont="1"/>
    <xf numFmtId="168" fontId="43" fillId="0" borderId="0" xfId="0" applyNumberFormat="1" applyFont="1"/>
    <xf numFmtId="0" fontId="8" fillId="0" borderId="0" xfId="0" applyFont="1" applyBorder="1"/>
    <xf numFmtId="167" fontId="8" fillId="0" borderId="0" xfId="0" applyNumberFormat="1" applyFont="1" applyBorder="1"/>
    <xf numFmtId="39" fontId="8" fillId="0" borderId="0" xfId="0" applyNumberFormat="1" applyFont="1" applyFill="1"/>
    <xf numFmtId="167" fontId="47" fillId="0" borderId="0" xfId="1" applyNumberFormat="1" applyFont="1" applyBorder="1" applyAlignment="1"/>
    <xf numFmtId="0" fontId="48" fillId="0" borderId="0" xfId="0" applyFont="1"/>
    <xf numFmtId="0" fontId="49" fillId="0" borderId="0" xfId="0" applyFont="1"/>
    <xf numFmtId="167" fontId="43" fillId="0" borderId="0" xfId="1" applyNumberFormat="1" applyFont="1" applyBorder="1" applyAlignment="1"/>
    <xf numFmtId="0" fontId="43" fillId="0" borderId="0" xfId="0" applyFont="1" applyFill="1" applyBorder="1" applyAlignment="1"/>
    <xf numFmtId="0" fontId="43" fillId="0" borderId="0" xfId="0" applyFont="1" applyAlignment="1"/>
    <xf numFmtId="37" fontId="48" fillId="0" borderId="0" xfId="1" applyNumberFormat="1" applyFont="1" applyBorder="1"/>
    <xf numFmtId="166" fontId="43" fillId="0" borderId="0" xfId="1" applyNumberFormat="1" applyFont="1" applyBorder="1" applyAlignment="1"/>
    <xf numFmtId="166" fontId="48" fillId="0" borderId="0" xfId="1" applyNumberFormat="1" applyFont="1" applyBorder="1"/>
    <xf numFmtId="167" fontId="3" fillId="0" borderId="0" xfId="1" applyNumberFormat="1" applyFont="1" applyBorder="1" applyAlignment="1">
      <alignment horizontal="center"/>
    </xf>
    <xf numFmtId="167" fontId="10" fillId="0" borderId="0" xfId="1" applyNumberFormat="1" applyFont="1"/>
    <xf numFmtId="37" fontId="10" fillId="0" borderId="0" xfId="0" applyNumberFormat="1" applyFont="1" applyBorder="1"/>
    <xf numFmtId="37" fontId="3" fillId="0" borderId="0" xfId="0" applyNumberFormat="1" applyFont="1" applyBorder="1" applyAlignment="1">
      <alignment horizontal="center"/>
    </xf>
    <xf numFmtId="165" fontId="8" fillId="0" borderId="0" xfId="1" applyNumberFormat="1" applyFont="1" applyFill="1" applyBorder="1" applyAlignment="1"/>
    <xf numFmtId="0" fontId="33" fillId="0" borderId="0" xfId="0" applyFont="1"/>
    <xf numFmtId="167" fontId="33" fillId="0" borderId="0" xfId="1" applyNumberFormat="1" applyFont="1" applyAlignment="1">
      <alignment horizontal="center"/>
    </xf>
    <xf numFmtId="0" fontId="33" fillId="0" borderId="0" xfId="0" applyFont="1" applyAlignment="1">
      <alignment horizontal="center"/>
    </xf>
    <xf numFmtId="167" fontId="33" fillId="0" borderId="0" xfId="1" applyNumberFormat="1" applyFont="1" applyBorder="1" applyAlignment="1">
      <alignment horizontal="center"/>
    </xf>
    <xf numFmtId="0" fontId="33" fillId="0" borderId="0" xfId="0" applyFont="1" applyBorder="1" applyAlignment="1">
      <alignment horizontal="center"/>
    </xf>
    <xf numFmtId="165" fontId="33" fillId="0" borderId="3" xfId="1" applyFont="1" applyBorder="1" applyAlignment="1">
      <alignment horizontal="center"/>
    </xf>
    <xf numFmtId="167" fontId="0" fillId="0" borderId="6" xfId="1" applyNumberFormat="1" applyFont="1" applyBorder="1"/>
    <xf numFmtId="167" fontId="0" fillId="0" borderId="5" xfId="1" applyNumberFormat="1" applyFont="1" applyBorder="1"/>
    <xf numFmtId="167" fontId="0" fillId="0" borderId="8" xfId="1" applyNumberFormat="1" applyFont="1" applyBorder="1"/>
    <xf numFmtId="167" fontId="3" fillId="0" borderId="7" xfId="1" applyNumberFormat="1" applyFont="1" applyBorder="1"/>
    <xf numFmtId="167" fontId="3" fillId="0" borderId="9" xfId="1" applyNumberFormat="1" applyFont="1" applyBorder="1"/>
    <xf numFmtId="167" fontId="3" fillId="0" borderId="0" xfId="1" applyNumberFormat="1" applyFont="1"/>
    <xf numFmtId="167" fontId="13" fillId="6" borderId="0" xfId="1" applyNumberFormat="1" applyFont="1" applyFill="1" applyBorder="1" applyAlignment="1"/>
    <xf numFmtId="167" fontId="13" fillId="6" borderId="1" xfId="1" applyNumberFormat="1" applyFont="1" applyFill="1" applyBorder="1" applyAlignment="1"/>
    <xf numFmtId="167" fontId="20" fillId="6" borderId="0" xfId="1" applyNumberFormat="1" applyFont="1" applyFill="1" applyBorder="1" applyAlignment="1"/>
    <xf numFmtId="167" fontId="40" fillId="0" borderId="0" xfId="3" applyNumberFormat="1" applyFont="1"/>
    <xf numFmtId="167" fontId="16" fillId="0" borderId="0" xfId="3" applyNumberFormat="1" applyFont="1"/>
    <xf numFmtId="167" fontId="40" fillId="0" borderId="0" xfId="1" applyNumberFormat="1" applyFont="1" applyBorder="1" applyAlignment="1"/>
    <xf numFmtId="167" fontId="7" fillId="0" borderId="0" xfId="0" applyNumberFormat="1" applyFont="1" applyAlignment="1">
      <alignment horizontal="center"/>
    </xf>
    <xf numFmtId="167" fontId="7" fillId="0" borderId="0" xfId="1" applyNumberFormat="1" applyFont="1" applyAlignment="1">
      <alignment horizontal="center"/>
    </xf>
    <xf numFmtId="0" fontId="7" fillId="8" borderId="0" xfId="0" applyFont="1" applyFill="1" applyAlignment="1">
      <alignment horizontal="center"/>
    </xf>
    <xf numFmtId="167" fontId="7" fillId="8" borderId="0" xfId="1" applyNumberFormat="1" applyFont="1" applyFill="1" applyAlignment="1">
      <alignment horizontal="center"/>
    </xf>
    <xf numFmtId="0" fontId="7" fillId="0" borderId="0" xfId="0" applyFont="1" applyFill="1" applyAlignment="1">
      <alignment horizontal="center"/>
    </xf>
    <xf numFmtId="167" fontId="7" fillId="0" borderId="0" xfId="0" applyNumberFormat="1" applyFont="1" applyFill="1"/>
    <xf numFmtId="0" fontId="7" fillId="9" borderId="0" xfId="0" applyFont="1" applyFill="1" applyAlignment="1">
      <alignment horizontal="center"/>
    </xf>
    <xf numFmtId="167" fontId="36" fillId="0" borderId="2" xfId="1" applyNumberFormat="1" applyFont="1" applyBorder="1" applyAlignment="1"/>
    <xf numFmtId="167" fontId="36" fillId="0" borderId="4" xfId="1" applyNumberFormat="1" applyFont="1" applyBorder="1" applyAlignment="1"/>
    <xf numFmtId="167" fontId="36" fillId="0" borderId="1" xfId="1" applyNumberFormat="1" applyFont="1" applyBorder="1" applyAlignment="1"/>
    <xf numFmtId="0" fontId="44" fillId="0" borderId="5" xfId="0" applyFont="1" applyBorder="1" applyAlignment="1"/>
    <xf numFmtId="0" fontId="44" fillId="0" borderId="0" xfId="0" applyFont="1" applyAlignment="1"/>
    <xf numFmtId="167" fontId="48" fillId="0" borderId="0" xfId="1" applyNumberFormat="1" applyFont="1" applyBorder="1"/>
    <xf numFmtId="167" fontId="48" fillId="0" borderId="0" xfId="1" applyNumberFormat="1" applyFont="1" applyFill="1" applyBorder="1"/>
    <xf numFmtId="167" fontId="43" fillId="0" borderId="0" xfId="1" applyNumberFormat="1" applyFont="1" applyFill="1"/>
    <xf numFmtId="167" fontId="43" fillId="0" borderId="0" xfId="1" applyNumberFormat="1" applyFont="1" applyAlignment="1"/>
    <xf numFmtId="0" fontId="43" fillId="0" borderId="0" xfId="0" applyFont="1" applyBorder="1"/>
    <xf numFmtId="0" fontId="44" fillId="0" borderId="0" xfId="0" applyFont="1" applyFill="1" applyBorder="1" applyAlignment="1"/>
    <xf numFmtId="0" fontId="49" fillId="0" borderId="0" xfId="0" applyFont="1" applyFill="1"/>
    <xf numFmtId="166" fontId="48" fillId="0" borderId="0" xfId="1" applyNumberFormat="1" applyFont="1" applyFill="1" applyBorder="1"/>
    <xf numFmtId="0" fontId="43" fillId="0" borderId="0" xfId="0" applyFont="1" applyFill="1"/>
    <xf numFmtId="37" fontId="43" fillId="0" borderId="0" xfId="0" applyNumberFormat="1" applyFont="1" applyFill="1"/>
    <xf numFmtId="167" fontId="36" fillId="0" borderId="3" xfId="1" applyNumberFormat="1" applyFont="1" applyBorder="1" applyAlignment="1"/>
    <xf numFmtId="0" fontId="36" fillId="0" borderId="0" xfId="0" applyFont="1" applyBorder="1" applyAlignment="1"/>
    <xf numFmtId="167" fontId="36" fillId="0" borderId="5" xfId="1" applyNumberFormat="1" applyFont="1" applyBorder="1" applyAlignment="1"/>
    <xf numFmtId="167" fontId="36" fillId="0" borderId="0" xfId="1" applyNumberFormat="1" applyFont="1" applyFill="1" applyBorder="1" applyAlignment="1">
      <alignment horizontal="center"/>
    </xf>
    <xf numFmtId="167" fontId="7" fillId="0" borderId="3" xfId="1" applyNumberFormat="1" applyFont="1" applyBorder="1" applyAlignment="1"/>
    <xf numFmtId="167" fontId="7" fillId="0" borderId="5" xfId="1" applyNumberFormat="1" applyFont="1" applyBorder="1" applyAlignment="1"/>
    <xf numFmtId="165" fontId="50" fillId="0" borderId="0" xfId="2" applyFont="1" applyAlignment="1">
      <alignment horizontal="left"/>
    </xf>
    <xf numFmtId="165" fontId="42" fillId="0" borderId="0" xfId="2" applyFont="1"/>
    <xf numFmtId="167" fontId="42" fillId="0" borderId="0" xfId="2" applyNumberFormat="1" applyFont="1"/>
    <xf numFmtId="0" fontId="42" fillId="0" borderId="0" xfId="2" applyNumberFormat="1" applyFont="1" applyAlignment="1">
      <alignment horizontal="center"/>
    </xf>
    <xf numFmtId="167" fontId="50" fillId="0" borderId="0" xfId="2" applyNumberFormat="1" applyFont="1" applyAlignment="1">
      <alignment horizontal="center"/>
    </xf>
    <xf numFmtId="165" fontId="42" fillId="0" borderId="0" xfId="2" applyFont="1" applyFill="1"/>
    <xf numFmtId="0" fontId="42" fillId="0" borderId="0" xfId="2" applyNumberFormat="1" applyFont="1" applyFill="1" applyAlignment="1">
      <alignment horizontal="center"/>
    </xf>
    <xf numFmtId="167" fontId="42" fillId="0" borderId="0" xfId="2" applyNumberFormat="1" applyFont="1" applyFill="1"/>
    <xf numFmtId="167" fontId="42" fillId="0" borderId="12" xfId="2" applyNumberFormat="1" applyFont="1" applyBorder="1"/>
    <xf numFmtId="165" fontId="42" fillId="0" borderId="0" xfId="2" applyFont="1" applyAlignment="1">
      <alignment horizontal="left"/>
    </xf>
    <xf numFmtId="167" fontId="51" fillId="0" borderId="0" xfId="1" applyNumberFormat="1" applyFont="1" applyFill="1" applyBorder="1" applyAlignment="1">
      <alignment horizontal="center"/>
    </xf>
    <xf numFmtId="167" fontId="51" fillId="0" borderId="0" xfId="1" applyNumberFormat="1" applyFont="1" applyFill="1" applyBorder="1" applyAlignment="1"/>
    <xf numFmtId="167" fontId="51" fillId="0" borderId="13" xfId="1" applyNumberFormat="1" applyFont="1" applyFill="1" applyBorder="1" applyAlignment="1"/>
    <xf numFmtId="167" fontId="51" fillId="0" borderId="14" xfId="1" applyNumberFormat="1" applyFont="1" applyFill="1" applyBorder="1" applyAlignment="1"/>
    <xf numFmtId="167" fontId="42" fillId="8" borderId="0" xfId="2" applyNumberFormat="1" applyFont="1" applyFill="1"/>
    <xf numFmtId="0" fontId="7" fillId="0" borderId="0" xfId="2" applyNumberFormat="1" applyFont="1" applyFill="1" applyAlignment="1">
      <alignment horizontal="center"/>
    </xf>
    <xf numFmtId="167" fontId="7" fillId="0" borderId="0" xfId="2" applyNumberFormat="1" applyFont="1"/>
    <xf numFmtId="0" fontId="42" fillId="0" borderId="0" xfId="2" applyNumberFormat="1" applyFont="1" applyFill="1" applyBorder="1" applyAlignment="1">
      <alignment horizontal="center"/>
    </xf>
    <xf numFmtId="0" fontId="7" fillId="0" borderId="0" xfId="2" applyNumberFormat="1" applyFont="1" applyFill="1" applyBorder="1" applyAlignment="1">
      <alignment horizontal="center"/>
    </xf>
    <xf numFmtId="167" fontId="7" fillId="8" borderId="0" xfId="2" applyNumberFormat="1" applyFont="1" applyFill="1"/>
    <xf numFmtId="167" fontId="12" fillId="0" borderId="2" xfId="1" applyNumberFormat="1" applyFont="1" applyFill="1" applyBorder="1" applyAlignment="1"/>
    <xf numFmtId="0" fontId="7" fillId="0" borderId="0" xfId="1" applyNumberFormat="1" applyFont="1" applyBorder="1" applyAlignment="1">
      <alignment horizontal="center"/>
    </xf>
    <xf numFmtId="0" fontId="7" fillId="0" borderId="2" xfId="1" applyNumberFormat="1" applyFont="1" applyBorder="1" applyAlignment="1">
      <alignment horizontal="center"/>
    </xf>
    <xf numFmtId="0" fontId="7" fillId="0" borderId="0" xfId="0" applyNumberFormat="1" applyFont="1" applyBorder="1" applyAlignment="1">
      <alignment horizontal="center"/>
    </xf>
    <xf numFmtId="0" fontId="7" fillId="0" borderId="0" xfId="1" quotePrefix="1" applyNumberFormat="1" applyFont="1" applyBorder="1" applyAlignment="1">
      <alignment horizontal="center"/>
    </xf>
    <xf numFmtId="16" fontId="7" fillId="0" borderId="0" xfId="1" quotePrefix="1" applyNumberFormat="1" applyFont="1" applyBorder="1" applyAlignment="1">
      <alignment horizontal="center"/>
    </xf>
    <xf numFmtId="0" fontId="3" fillId="0" borderId="0" xfId="0" applyFont="1" applyAlignment="1">
      <alignment horizontal="center"/>
    </xf>
    <xf numFmtId="0" fontId="52" fillId="0" borderId="0" xfId="0" applyFont="1"/>
    <xf numFmtId="0" fontId="53" fillId="0" borderId="0" xfId="0" applyFont="1"/>
    <xf numFmtId="0" fontId="54" fillId="0" borderId="0" xfId="0" applyFont="1"/>
    <xf numFmtId="167" fontId="54" fillId="0" borderId="0" xfId="0" applyNumberFormat="1" applyFont="1"/>
    <xf numFmtId="167" fontId="53" fillId="0" borderId="0" xfId="0" applyNumberFormat="1" applyFont="1"/>
    <xf numFmtId="0" fontId="55" fillId="0" borderId="0" xfId="0" applyFont="1" applyAlignment="1">
      <alignment horizontal="center"/>
    </xf>
    <xf numFmtId="167" fontId="55" fillId="0" borderId="0" xfId="1" applyNumberFormat="1" applyFont="1" applyAlignment="1">
      <alignment horizontal="center"/>
    </xf>
    <xf numFmtId="167" fontId="54" fillId="0" borderId="0" xfId="1" applyNumberFormat="1" applyFont="1"/>
    <xf numFmtId="167" fontId="53" fillId="0" borderId="0" xfId="1" applyNumberFormat="1" applyFont="1"/>
    <xf numFmtId="0" fontId="56" fillId="0" borderId="0" xfId="0" applyFont="1"/>
    <xf numFmtId="167" fontId="57" fillId="8" borderId="0" xfId="1" applyNumberFormat="1" applyFont="1" applyFill="1"/>
    <xf numFmtId="167" fontId="57" fillId="0" borderId="0" xfId="1" applyNumberFormat="1" applyFont="1"/>
    <xf numFmtId="0" fontId="53" fillId="0" borderId="0" xfId="0" applyFont="1" applyFill="1"/>
    <xf numFmtId="165" fontId="58" fillId="0" borderId="0" xfId="2" applyFont="1"/>
    <xf numFmtId="0" fontId="57" fillId="0" borderId="0" xfId="0" applyFont="1"/>
    <xf numFmtId="0" fontId="53" fillId="3" borderId="0" xfId="0" applyFont="1" applyFill="1"/>
    <xf numFmtId="167" fontId="59" fillId="0" borderId="0" xfId="1" applyNumberFormat="1" applyFont="1"/>
    <xf numFmtId="0" fontId="60" fillId="0" borderId="0" xfId="0" applyFont="1"/>
    <xf numFmtId="167" fontId="59" fillId="0" borderId="0" xfId="0" applyNumberFormat="1" applyFont="1"/>
    <xf numFmtId="167" fontId="61" fillId="0" borderId="0" xfId="0" applyNumberFormat="1" applyFont="1"/>
    <xf numFmtId="167" fontId="62" fillId="0" borderId="0" xfId="0" applyNumberFormat="1" applyFont="1"/>
    <xf numFmtId="167" fontId="56" fillId="0" borderId="0" xfId="1" applyNumberFormat="1" applyFont="1"/>
    <xf numFmtId="167" fontId="53" fillId="0" borderId="6" xfId="1" applyNumberFormat="1" applyFont="1" applyBorder="1"/>
    <xf numFmtId="0" fontId="53" fillId="0" borderId="5" xfId="0" applyFont="1" applyBorder="1"/>
    <xf numFmtId="0" fontId="53" fillId="0" borderId="7" xfId="0" applyFont="1" applyBorder="1"/>
    <xf numFmtId="165" fontId="53" fillId="0" borderId="10" xfId="1" applyFont="1" applyBorder="1"/>
    <xf numFmtId="165" fontId="53" fillId="0" borderId="0" xfId="1" applyFont="1" applyBorder="1"/>
    <xf numFmtId="165" fontId="53" fillId="0" borderId="11" xfId="1" applyFont="1" applyBorder="1"/>
    <xf numFmtId="165" fontId="53" fillId="0" borderId="17" xfId="1" applyFont="1" applyBorder="1"/>
    <xf numFmtId="165" fontId="53" fillId="0" borderId="4" xfId="1" applyFont="1" applyBorder="1"/>
    <xf numFmtId="165" fontId="53" fillId="0" borderId="18" xfId="1" applyFont="1" applyBorder="1"/>
    <xf numFmtId="165" fontId="53" fillId="0" borderId="0" xfId="1" applyFont="1"/>
    <xf numFmtId="0" fontId="58" fillId="0" borderId="0" xfId="0" applyFont="1"/>
    <xf numFmtId="167" fontId="53" fillId="0" borderId="0" xfId="1" applyNumberFormat="1" applyFont="1" applyAlignment="1">
      <alignment horizontal="center"/>
    </xf>
    <xf numFmtId="165" fontId="52" fillId="0" borderId="0" xfId="1" applyFont="1"/>
    <xf numFmtId="9" fontId="53" fillId="0" borderId="0" xfId="7" applyFont="1" applyAlignment="1">
      <alignment horizontal="center"/>
    </xf>
    <xf numFmtId="170" fontId="53" fillId="0" borderId="0" xfId="7" applyNumberFormat="1" applyFont="1"/>
    <xf numFmtId="10" fontId="53" fillId="0" borderId="0" xfId="7" applyNumberFormat="1" applyFont="1"/>
    <xf numFmtId="167" fontId="53" fillId="0" borderId="2" xfId="1" applyNumberFormat="1" applyFont="1" applyBorder="1"/>
    <xf numFmtId="167" fontId="53" fillId="0" borderId="4" xfId="1" applyNumberFormat="1" applyFont="1" applyBorder="1"/>
    <xf numFmtId="167" fontId="57" fillId="0" borderId="4" xfId="1" applyNumberFormat="1" applyFont="1" applyBorder="1"/>
    <xf numFmtId="167" fontId="53" fillId="0" borderId="0" xfId="1" applyNumberFormat="1" applyFont="1" applyBorder="1"/>
    <xf numFmtId="0" fontId="53" fillId="0" borderId="0" xfId="0" applyFont="1" applyBorder="1"/>
    <xf numFmtId="167" fontId="53" fillId="0" borderId="0" xfId="1" applyNumberFormat="1" applyFont="1" applyBorder="1" applyAlignment="1">
      <alignment horizontal="center"/>
    </xf>
    <xf numFmtId="167" fontId="53" fillId="3" borderId="0" xfId="1" applyNumberFormat="1" applyFont="1" applyFill="1"/>
    <xf numFmtId="165" fontId="54" fillId="0" borderId="0" xfId="1" applyFont="1"/>
    <xf numFmtId="165" fontId="56" fillId="0" borderId="0" xfId="1" applyFont="1"/>
    <xf numFmtId="167" fontId="53" fillId="0" borderId="2" xfId="0" applyNumberFormat="1" applyFont="1" applyBorder="1"/>
    <xf numFmtId="0" fontId="55" fillId="0" borderId="0" xfId="1" applyNumberFormat="1" applyFont="1" applyAlignment="1">
      <alignment horizontal="center"/>
    </xf>
    <xf numFmtId="0" fontId="54" fillId="0" borderId="0" xfId="0" applyFont="1" applyAlignment="1">
      <alignment horizontal="right"/>
    </xf>
    <xf numFmtId="167" fontId="54" fillId="0" borderId="4" xfId="1" applyNumberFormat="1" applyFont="1" applyBorder="1"/>
    <xf numFmtId="167" fontId="54" fillId="3" borderId="4" xfId="1" applyNumberFormat="1" applyFont="1" applyFill="1" applyBorder="1"/>
    <xf numFmtId="167" fontId="54" fillId="0" borderId="4" xfId="0" applyNumberFormat="1" applyFont="1" applyBorder="1"/>
    <xf numFmtId="167" fontId="54" fillId="0" borderId="1" xfId="0" applyNumberFormat="1" applyFont="1" applyBorder="1"/>
    <xf numFmtId="167" fontId="54" fillId="0" borderId="3" xfId="1" applyNumberFormat="1" applyFont="1" applyBorder="1"/>
    <xf numFmtId="167" fontId="54" fillId="0" borderId="1" xfId="1" applyNumberFormat="1" applyFont="1" applyBorder="1"/>
    <xf numFmtId="167" fontId="54" fillId="0" borderId="0" xfId="0" applyNumberFormat="1" applyFont="1" applyBorder="1"/>
    <xf numFmtId="167" fontId="54" fillId="0" borderId="0" xfId="1" applyNumberFormat="1" applyFont="1" applyBorder="1"/>
    <xf numFmtId="167" fontId="56" fillId="0" borderId="0" xfId="1" applyNumberFormat="1" applyFont="1" applyBorder="1"/>
    <xf numFmtId="0" fontId="53" fillId="6" borderId="0" xfId="0" applyFont="1" applyFill="1"/>
    <xf numFmtId="167" fontId="54" fillId="6" borderId="0" xfId="1" applyNumberFormat="1" applyFont="1" applyFill="1"/>
    <xf numFmtId="167" fontId="63" fillId="0" borderId="0" xfId="1" applyNumberFormat="1" applyFont="1"/>
    <xf numFmtId="0" fontId="53" fillId="0" borderId="0" xfId="6" applyFont="1"/>
    <xf numFmtId="0" fontId="62" fillId="0" borderId="0" xfId="0" applyFont="1"/>
    <xf numFmtId="167" fontId="62" fillId="0" borderId="13" xfId="1" applyNumberFormat="1" applyFont="1" applyBorder="1"/>
    <xf numFmtId="167" fontId="54" fillId="0" borderId="7" xfId="1" applyNumberFormat="1" applyFont="1" applyBorder="1"/>
    <xf numFmtId="167" fontId="54" fillId="0" borderId="21" xfId="1" applyNumberFormat="1" applyFont="1" applyBorder="1"/>
    <xf numFmtId="167" fontId="62" fillId="0" borderId="11" xfId="1" applyNumberFormat="1" applyFont="1" applyBorder="1"/>
    <xf numFmtId="167" fontId="54" fillId="0" borderId="14" xfId="1" applyNumberFormat="1" applyFont="1" applyBorder="1"/>
    <xf numFmtId="167" fontId="54" fillId="0" borderId="9" xfId="1" applyNumberFormat="1" applyFont="1" applyBorder="1"/>
    <xf numFmtId="167" fontId="55" fillId="0" borderId="0" xfId="1" applyNumberFormat="1" applyFont="1"/>
    <xf numFmtId="167" fontId="62" fillId="0" borderId="0" xfId="1" applyNumberFormat="1" applyFont="1"/>
    <xf numFmtId="167" fontId="54" fillId="0" borderId="13" xfId="1" applyNumberFormat="1" applyFont="1" applyBorder="1"/>
    <xf numFmtId="167" fontId="62" fillId="0" borderId="21" xfId="1" applyNumberFormat="1" applyFont="1" applyBorder="1"/>
    <xf numFmtId="167" fontId="54" fillId="0" borderId="11" xfId="1" applyNumberFormat="1" applyFont="1" applyBorder="1"/>
    <xf numFmtId="167" fontId="62" fillId="0" borderId="9" xfId="1" applyNumberFormat="1" applyFont="1" applyBorder="1"/>
    <xf numFmtId="0" fontId="52" fillId="6" borderId="0" xfId="0" applyFont="1" applyFill="1"/>
    <xf numFmtId="0" fontId="3" fillId="0" borderId="0" xfId="0" applyFont="1" applyAlignment="1">
      <alignment horizontal="center"/>
    </xf>
    <xf numFmtId="167" fontId="64" fillId="0" borderId="0" xfId="1" applyNumberFormat="1" applyFont="1"/>
    <xf numFmtId="167" fontId="64" fillId="5" borderId="0" xfId="1" applyNumberFormat="1" applyFont="1" applyFill="1"/>
    <xf numFmtId="167" fontId="65" fillId="0" borderId="0" xfId="1" applyNumberFormat="1" applyFont="1" applyAlignment="1">
      <alignment horizontal="center"/>
    </xf>
    <xf numFmtId="167" fontId="66" fillId="0" borderId="0" xfId="1" applyNumberFormat="1" applyFont="1"/>
    <xf numFmtId="167" fontId="65" fillId="5" borderId="0" xfId="1" applyNumberFormat="1" applyFont="1" applyFill="1" applyAlignment="1">
      <alignment horizontal="center"/>
    </xf>
    <xf numFmtId="167" fontId="64" fillId="0" borderId="0" xfId="1" applyNumberFormat="1" applyFont="1" applyFill="1"/>
    <xf numFmtId="167" fontId="64" fillId="0" borderId="0" xfId="1" applyNumberFormat="1" applyFont="1" applyBorder="1" applyAlignment="1"/>
    <xf numFmtId="167" fontId="66" fillId="0" borderId="0" xfId="1" applyNumberFormat="1" applyFont="1" applyAlignment="1">
      <alignment horizontal="center"/>
    </xf>
    <xf numFmtId="167" fontId="68" fillId="0" borderId="0" xfId="1" applyNumberFormat="1" applyFont="1"/>
    <xf numFmtId="167" fontId="65" fillId="0" borderId="0" xfId="1" applyNumberFormat="1" applyFont="1" applyFill="1"/>
    <xf numFmtId="167" fontId="64" fillId="0" borderId="0" xfId="1" applyNumberFormat="1" applyFont="1" applyBorder="1" applyAlignment="1">
      <alignment horizontal="center"/>
    </xf>
    <xf numFmtId="167" fontId="65" fillId="0" borderId="0" xfId="1" applyNumberFormat="1" applyFont="1" applyBorder="1" applyAlignment="1"/>
    <xf numFmtId="167" fontId="69" fillId="5" borderId="0" xfId="1" applyNumberFormat="1" applyFont="1" applyFill="1"/>
    <xf numFmtId="167" fontId="69" fillId="0" borderId="0" xfId="1" applyNumberFormat="1" applyFont="1"/>
    <xf numFmtId="167" fontId="68" fillId="0" borderId="0" xfId="1" applyNumberFormat="1" applyFont="1" applyAlignment="1">
      <alignment horizontal="right"/>
    </xf>
    <xf numFmtId="167" fontId="65" fillId="0" borderId="0" xfId="1" applyNumberFormat="1" applyFont="1" applyFill="1" applyAlignment="1">
      <alignment horizontal="center"/>
    </xf>
    <xf numFmtId="167" fontId="65" fillId="3" borderId="0" xfId="1" applyNumberFormat="1" applyFont="1" applyFill="1"/>
    <xf numFmtId="167" fontId="68" fillId="0" borderId="0" xfId="1" applyNumberFormat="1" applyFont="1" applyBorder="1"/>
    <xf numFmtId="167" fontId="69" fillId="5" borderId="0" xfId="1" applyNumberFormat="1" applyFont="1" applyFill="1" applyBorder="1"/>
    <xf numFmtId="167" fontId="69" fillId="0" borderId="0" xfId="1" applyNumberFormat="1" applyFont="1" applyBorder="1"/>
    <xf numFmtId="167" fontId="67" fillId="0" borderId="0" xfId="1" applyNumberFormat="1" applyFont="1" applyAlignment="1">
      <alignment horizontal="center"/>
    </xf>
    <xf numFmtId="167" fontId="67" fillId="0" borderId="0" xfId="1" applyNumberFormat="1" applyFont="1"/>
    <xf numFmtId="167" fontId="65" fillId="0" borderId="0" xfId="1" applyNumberFormat="1" applyFont="1"/>
    <xf numFmtId="167" fontId="64" fillId="3" borderId="0" xfId="1" applyNumberFormat="1" applyFont="1" applyFill="1"/>
    <xf numFmtId="167" fontId="70" fillId="0" borderId="0" xfId="1" applyNumberFormat="1" applyFont="1" applyFill="1"/>
    <xf numFmtId="167" fontId="64" fillId="0" borderId="2" xfId="1" applyNumberFormat="1" applyFont="1" applyFill="1" applyBorder="1"/>
    <xf numFmtId="167" fontId="64" fillId="0" borderId="2" xfId="1" applyNumberFormat="1" applyFont="1" applyBorder="1"/>
    <xf numFmtId="167" fontId="71" fillId="0" borderId="0" xfId="1" applyNumberFormat="1" applyFont="1" applyFill="1"/>
    <xf numFmtId="167" fontId="64" fillId="0" borderId="0" xfId="1" applyNumberFormat="1" applyFont="1" applyFill="1" applyBorder="1" applyAlignment="1"/>
    <xf numFmtId="167" fontId="69" fillId="5" borderId="6" xfId="1" applyNumberFormat="1" applyFont="1" applyFill="1" applyBorder="1"/>
    <xf numFmtId="167" fontId="69" fillId="0" borderId="7" xfId="1" applyNumberFormat="1" applyFont="1" applyBorder="1"/>
    <xf numFmtId="167" fontId="69" fillId="5" borderId="8" xfId="1" applyNumberFormat="1" applyFont="1" applyFill="1" applyBorder="1"/>
    <xf numFmtId="167" fontId="69" fillId="0" borderId="9" xfId="1" applyNumberFormat="1" applyFont="1" applyBorder="1"/>
    <xf numFmtId="167" fontId="64" fillId="0" borderId="4" xfId="1" applyNumberFormat="1" applyFont="1" applyFill="1" applyBorder="1"/>
    <xf numFmtId="167" fontId="71" fillId="3" borderId="0" xfId="1" applyNumberFormat="1" applyFont="1" applyFill="1"/>
    <xf numFmtId="167" fontId="65" fillId="2" borderId="0" xfId="1" applyNumberFormat="1" applyFont="1" applyFill="1"/>
    <xf numFmtId="167" fontId="69" fillId="5" borderId="4" xfId="1" applyNumberFormat="1" applyFont="1" applyFill="1" applyBorder="1"/>
    <xf numFmtId="167" fontId="69" fillId="0" borderId="4" xfId="1" applyNumberFormat="1" applyFont="1" applyBorder="1"/>
    <xf numFmtId="167" fontId="69" fillId="5" borderId="10" xfId="1" applyNumberFormat="1" applyFont="1" applyFill="1" applyBorder="1"/>
    <xf numFmtId="167" fontId="69" fillId="0" borderId="11" xfId="1" applyNumberFormat="1" applyFont="1" applyBorder="1"/>
    <xf numFmtId="167" fontId="64" fillId="3" borderId="0" xfId="1" applyNumberFormat="1" applyFont="1" applyFill="1" applyBorder="1" applyAlignment="1"/>
    <xf numFmtId="167" fontId="64" fillId="0" borderId="12" xfId="1" applyNumberFormat="1" applyFont="1" applyFill="1" applyBorder="1"/>
    <xf numFmtId="167" fontId="64" fillId="0" borderId="0" xfId="1" applyNumberFormat="1" applyFont="1" applyFill="1" applyBorder="1"/>
    <xf numFmtId="167" fontId="72" fillId="0" borderId="0" xfId="1" applyNumberFormat="1" applyFont="1" applyBorder="1" applyAlignment="1"/>
    <xf numFmtId="167" fontId="72" fillId="0" borderId="0" xfId="1" applyNumberFormat="1" applyFont="1"/>
    <xf numFmtId="167" fontId="69" fillId="5" borderId="1" xfId="1" applyNumberFormat="1" applyFont="1" applyFill="1" applyBorder="1"/>
    <xf numFmtId="167" fontId="69" fillId="0" borderId="1" xfId="1" applyNumberFormat="1" applyFont="1" applyBorder="1"/>
    <xf numFmtId="167" fontId="65" fillId="0" borderId="0" xfId="1" applyNumberFormat="1" applyFont="1" applyFill="1" applyBorder="1" applyAlignment="1"/>
    <xf numFmtId="167" fontId="69" fillId="0" borderId="0" xfId="1" applyNumberFormat="1" applyFont="1" applyBorder="1" applyAlignment="1"/>
    <xf numFmtId="0" fontId="65" fillId="5" borderId="0" xfId="1" applyNumberFormat="1" applyFont="1" applyFill="1" applyAlignment="1">
      <alignment horizontal="center"/>
    </xf>
    <xf numFmtId="167" fontId="64" fillId="5" borderId="0" xfId="1" applyNumberFormat="1" applyFont="1" applyFill="1" applyBorder="1"/>
    <xf numFmtId="167" fontId="64" fillId="5" borderId="6" xfId="1" applyNumberFormat="1" applyFont="1" applyFill="1" applyBorder="1"/>
    <xf numFmtId="167" fontId="64" fillId="5" borderId="8" xfId="1" applyNumberFormat="1" applyFont="1" applyFill="1" applyBorder="1"/>
    <xf numFmtId="167" fontId="73" fillId="5" borderId="8" xfId="1" applyNumberFormat="1" applyFont="1" applyFill="1" applyBorder="1"/>
    <xf numFmtId="167" fontId="64" fillId="5" borderId="10" xfId="1" applyNumberFormat="1" applyFont="1" applyFill="1" applyBorder="1"/>
    <xf numFmtId="167" fontId="64" fillId="10" borderId="0" xfId="1" applyNumberFormat="1" applyFont="1" applyFill="1" applyBorder="1" applyAlignment="1"/>
    <xf numFmtId="167" fontId="64" fillId="0" borderId="7" xfId="1" applyNumberFormat="1" applyFont="1" applyFill="1" applyBorder="1"/>
    <xf numFmtId="167" fontId="64" fillId="0" borderId="11" xfId="1" applyNumberFormat="1" applyFont="1" applyFill="1" applyBorder="1"/>
    <xf numFmtId="167" fontId="64" fillId="0" borderId="11" xfId="1" applyNumberFormat="1" applyFont="1" applyBorder="1"/>
    <xf numFmtId="167" fontId="64" fillId="0" borderId="9" xfId="1" applyNumberFormat="1" applyFont="1" applyBorder="1"/>
    <xf numFmtId="167" fontId="64" fillId="0" borderId="7" xfId="1" applyNumberFormat="1" applyFont="1" applyBorder="1"/>
    <xf numFmtId="167" fontId="22" fillId="11" borderId="0" xfId="1" applyNumberFormat="1" applyFont="1" applyFill="1"/>
    <xf numFmtId="167" fontId="7" fillId="11" borderId="0" xfId="1" applyNumberFormat="1" applyFont="1" applyFill="1"/>
    <xf numFmtId="167" fontId="39" fillId="11" borderId="0" xfId="1" applyNumberFormat="1" applyFont="1" applyFill="1"/>
    <xf numFmtId="167" fontId="29" fillId="11" borderId="0" xfId="1" applyNumberFormat="1" applyFont="1" applyFill="1"/>
    <xf numFmtId="167" fontId="18" fillId="11" borderId="0" xfId="1" applyNumberFormat="1" applyFont="1" applyFill="1"/>
    <xf numFmtId="167" fontId="40" fillId="11" borderId="0" xfId="1" applyNumberFormat="1" applyFont="1" applyFill="1"/>
    <xf numFmtId="167" fontId="36" fillId="11" borderId="0" xfId="1" applyNumberFormat="1" applyFont="1" applyFill="1"/>
    <xf numFmtId="167" fontId="13" fillId="11" borderId="0" xfId="1" applyNumberFormat="1" applyFont="1" applyFill="1"/>
    <xf numFmtId="167" fontId="26" fillId="11" borderId="0" xfId="1" applyNumberFormat="1" applyFont="1" applyFill="1"/>
    <xf numFmtId="167" fontId="25" fillId="11" borderId="0" xfId="1" applyNumberFormat="1" applyFont="1" applyFill="1"/>
    <xf numFmtId="167" fontId="15" fillId="11" borderId="0" xfId="1" applyNumberFormat="1" applyFont="1" applyFill="1"/>
    <xf numFmtId="167" fontId="23" fillId="11" borderId="0" xfId="1" applyNumberFormat="1" applyFont="1" applyFill="1"/>
    <xf numFmtId="167" fontId="27" fillId="11" borderId="0" xfId="1" applyNumberFormat="1" applyFont="1" applyFill="1"/>
    <xf numFmtId="167" fontId="40" fillId="11" borderId="0" xfId="3" applyNumberFormat="1" applyFont="1" applyFill="1"/>
    <xf numFmtId="167" fontId="7" fillId="11" borderId="0" xfId="3" applyNumberFormat="1" applyFont="1" applyFill="1"/>
    <xf numFmtId="167" fontId="39" fillId="11" borderId="0" xfId="3" applyNumberFormat="1" applyFont="1" applyFill="1"/>
    <xf numFmtId="167" fontId="29" fillId="0" borderId="0" xfId="1" applyNumberFormat="1" applyFont="1" applyFill="1"/>
    <xf numFmtId="167" fontId="18" fillId="0" borderId="0" xfId="1" applyNumberFormat="1" applyFont="1" applyFill="1"/>
    <xf numFmtId="167" fontId="36" fillId="0" borderId="0" xfId="1" applyNumberFormat="1" applyFont="1" applyFill="1"/>
    <xf numFmtId="167" fontId="26" fillId="0" borderId="0" xfId="1" applyNumberFormat="1" applyFont="1" applyFill="1"/>
    <xf numFmtId="167" fontId="40" fillId="0" borderId="0" xfId="3" applyNumberFormat="1" applyFont="1" applyFill="1"/>
    <xf numFmtId="167" fontId="7" fillId="0" borderId="0" xfId="3" applyNumberFormat="1" applyFont="1" applyFill="1"/>
    <xf numFmtId="167" fontId="39" fillId="0" borderId="0" xfId="3" applyNumberFormat="1" applyFont="1" applyFill="1"/>
    <xf numFmtId="167" fontId="25" fillId="0" borderId="0" xfId="1" applyNumberFormat="1" applyFont="1" applyFill="1"/>
    <xf numFmtId="167" fontId="37" fillId="0" borderId="0" xfId="1" applyNumberFormat="1" applyFont="1" applyFill="1"/>
    <xf numFmtId="167" fontId="46" fillId="0" borderId="0" xfId="1" applyNumberFormat="1" applyFont="1" applyBorder="1"/>
    <xf numFmtId="167" fontId="46" fillId="0" borderId="0" xfId="1" applyNumberFormat="1" applyFont="1"/>
    <xf numFmtId="37" fontId="46" fillId="0" borderId="0" xfId="0" applyNumberFormat="1" applyFont="1" applyBorder="1"/>
    <xf numFmtId="37" fontId="44" fillId="0" borderId="0" xfId="0" applyNumberFormat="1" applyFont="1" applyBorder="1"/>
    <xf numFmtId="167" fontId="43" fillId="0" borderId="0" xfId="1" applyNumberFormat="1" applyFont="1" applyFill="1" applyBorder="1"/>
    <xf numFmtId="167" fontId="43" fillId="0" borderId="0" xfId="0" applyNumberFormat="1" applyFont="1" applyBorder="1"/>
    <xf numFmtId="0" fontId="3" fillId="0" borderId="0" xfId="0" applyFont="1" applyAlignment="1">
      <alignment horizontal="center"/>
    </xf>
    <xf numFmtId="167" fontId="1" fillId="0" borderId="0" xfId="1" applyNumberFormat="1" applyFont="1"/>
    <xf numFmtId="167" fontId="1" fillId="0" borderId="2" xfId="1" applyNumberFormat="1" applyFont="1" applyBorder="1"/>
    <xf numFmtId="167" fontId="1" fillId="0" borderId="0" xfId="1" applyNumberFormat="1" applyFont="1" applyBorder="1"/>
    <xf numFmtId="167" fontId="1" fillId="0" borderId="4" xfId="1" applyNumberFormat="1" applyFont="1" applyBorder="1"/>
    <xf numFmtId="167" fontId="10" fillId="0" borderId="0" xfId="1" applyNumberFormat="1" applyFont="1" applyBorder="1"/>
    <xf numFmtId="37" fontId="1" fillId="0" borderId="0" xfId="0" applyNumberFormat="1" applyFont="1" applyBorder="1"/>
    <xf numFmtId="0" fontId="1" fillId="0" borderId="0" xfId="0" applyFont="1" applyBorder="1"/>
    <xf numFmtId="167" fontId="1" fillId="0" borderId="1" xfId="0" applyNumberFormat="1" applyFont="1" applyBorder="1"/>
    <xf numFmtId="0" fontId="3" fillId="0" borderId="0" xfId="0" applyFont="1" applyAlignment="1">
      <alignment horizontal="center"/>
    </xf>
    <xf numFmtId="167" fontId="64" fillId="12" borderId="0" xfId="1" applyNumberFormat="1" applyFont="1" applyFill="1"/>
    <xf numFmtId="167" fontId="64" fillId="12" borderId="4" xfId="1" applyNumberFormat="1" applyFont="1" applyFill="1" applyBorder="1"/>
    <xf numFmtId="167" fontId="65" fillId="12" borderId="0" xfId="1" applyNumberFormat="1" applyFont="1" applyFill="1" applyAlignment="1">
      <alignment horizontal="center"/>
    </xf>
    <xf numFmtId="167" fontId="65" fillId="12" borderId="0" xfId="1" applyNumberFormat="1" applyFont="1" applyFill="1"/>
    <xf numFmtId="167" fontId="67" fillId="12" borderId="0" xfId="1" applyNumberFormat="1" applyFont="1" applyFill="1"/>
    <xf numFmtId="167" fontId="69" fillId="12" borderId="0" xfId="1" applyNumberFormat="1" applyFont="1" applyFill="1"/>
    <xf numFmtId="0" fontId="3" fillId="0" borderId="0" xfId="0" applyFont="1" applyAlignment="1">
      <alignment horizontal="center"/>
    </xf>
    <xf numFmtId="0" fontId="1" fillId="0" borderId="0" xfId="0" applyFont="1"/>
    <xf numFmtId="167" fontId="1" fillId="0" borderId="0" xfId="1" applyNumberFormat="1" applyFont="1" applyFill="1" applyBorder="1"/>
    <xf numFmtId="0" fontId="1" fillId="0" borderId="0" xfId="0" applyFont="1" applyAlignment="1">
      <alignment horizontal="center"/>
    </xf>
    <xf numFmtId="0" fontId="1" fillId="0" borderId="0" xfId="0" applyFont="1" applyBorder="1" applyAlignment="1"/>
    <xf numFmtId="0" fontId="1" fillId="0" borderId="0" xfId="0" applyFont="1" applyFill="1" applyBorder="1" applyAlignment="1"/>
    <xf numFmtId="0" fontId="1" fillId="0" borderId="0" xfId="0" applyFont="1" applyAlignment="1"/>
    <xf numFmtId="0" fontId="3" fillId="0" borderId="0" xfId="0" applyFont="1" applyAlignment="1"/>
    <xf numFmtId="0" fontId="1" fillId="0" borderId="0" xfId="0" quotePrefix="1" applyFont="1" applyAlignment="1"/>
    <xf numFmtId="0" fontId="3" fillId="0" borderId="0" xfId="0" applyFont="1" applyFill="1" applyBorder="1" applyAlignment="1"/>
    <xf numFmtId="0" fontId="1" fillId="0" borderId="0" xfId="0" applyFont="1" applyFill="1" applyAlignment="1">
      <alignment horizontal="center"/>
    </xf>
    <xf numFmtId="0" fontId="8" fillId="0" borderId="0" xfId="0" applyFont="1" applyAlignment="1">
      <alignment horizontal="justify" vertical="justify" wrapText="1"/>
    </xf>
    <xf numFmtId="0" fontId="3" fillId="0" borderId="0" xfId="0" applyFont="1" applyAlignment="1">
      <alignment horizontal="center"/>
    </xf>
    <xf numFmtId="0" fontId="5" fillId="0" borderId="0" xfId="0" applyFont="1" applyFill="1" applyAlignment="1">
      <alignment horizontal="center"/>
    </xf>
    <xf numFmtId="0" fontId="6" fillId="0" borderId="0" xfId="0" applyFont="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12" fillId="0" borderId="0" xfId="0" applyFont="1" applyBorder="1" applyAlignment="1">
      <alignment horizontal="center"/>
    </xf>
    <xf numFmtId="0" fontId="7" fillId="0" borderId="0" xfId="0" applyFont="1" applyBorder="1" applyAlignment="1">
      <alignment horizontal="center"/>
    </xf>
    <xf numFmtId="167" fontId="7" fillId="0" borderId="0" xfId="1" applyNumberFormat="1" applyFont="1" applyBorder="1" applyAlignment="1">
      <alignment horizontal="center"/>
    </xf>
    <xf numFmtId="167" fontId="12" fillId="0" borderId="0" xfId="1" applyNumberFormat="1" applyFont="1" applyBorder="1" applyAlignment="1">
      <alignment horizontal="center"/>
    </xf>
    <xf numFmtId="0" fontId="5" fillId="0" borderId="0" xfId="0" applyFont="1" applyAlignment="1">
      <alignment horizontal="center"/>
    </xf>
    <xf numFmtId="0" fontId="55" fillId="0" borderId="0" xfId="0" applyFont="1" applyAlignment="1">
      <alignment horizontal="center"/>
    </xf>
    <xf numFmtId="167" fontId="33" fillId="0" borderId="0" xfId="1" applyNumberFormat="1" applyFont="1" applyAlignment="1">
      <alignment horizontal="center"/>
    </xf>
    <xf numFmtId="167" fontId="33" fillId="0" borderId="0" xfId="1" applyNumberFormat="1" applyFont="1" applyBorder="1" applyAlignment="1">
      <alignment horizontal="center"/>
    </xf>
    <xf numFmtId="0" fontId="3" fillId="0" borderId="10" xfId="0" quotePrefix="1" applyFont="1" applyBorder="1" applyAlignment="1">
      <alignment horizontal="center"/>
    </xf>
    <xf numFmtId="0" fontId="3" fillId="0" borderId="0" xfId="0" quotePrefix="1" applyFont="1" applyBorder="1" applyAlignment="1">
      <alignment horizontal="center"/>
    </xf>
    <xf numFmtId="0" fontId="3" fillId="0" borderId="11" xfId="0" quotePrefix="1" applyFont="1" applyBorder="1" applyAlignment="1">
      <alignment horizontal="center"/>
    </xf>
    <xf numFmtId="167" fontId="66" fillId="0" borderId="0" xfId="1" applyNumberFormat="1" applyFont="1" applyAlignment="1">
      <alignment horizontal="center"/>
    </xf>
    <xf numFmtId="167" fontId="65" fillId="0" borderId="0" xfId="1" applyNumberFormat="1" applyFont="1" applyAlignment="1">
      <alignment horizontal="center"/>
    </xf>
    <xf numFmtId="164" fontId="8" fillId="0" borderId="17" xfId="0" applyNumberFormat="1" applyFont="1" applyBorder="1" applyAlignment="1">
      <alignment horizontal="center"/>
    </xf>
    <xf numFmtId="164" fontId="8" fillId="0" borderId="4" xfId="0" applyNumberFormat="1" applyFont="1" applyBorder="1" applyAlignment="1">
      <alignment horizontal="center"/>
    </xf>
    <xf numFmtId="164" fontId="8" fillId="0" borderId="18" xfId="0" applyNumberFormat="1" applyFont="1" applyBorder="1" applyAlignment="1">
      <alignment horizontal="center"/>
    </xf>
    <xf numFmtId="167" fontId="13" fillId="0" borderId="0" xfId="1" applyNumberFormat="1" applyFont="1" applyAlignment="1">
      <alignment horizontal="center"/>
    </xf>
    <xf numFmtId="169" fontId="3" fillId="0" borderId="0" xfId="0" applyNumberFormat="1" applyFont="1" applyAlignment="1">
      <alignment horizontal="center"/>
    </xf>
  </cellXfs>
  <cellStyles count="9">
    <cellStyle name="Comma" xfId="1" builtinId="3"/>
    <cellStyle name="Comma 2" xfId="2"/>
    <cellStyle name="Comma 3" xfId="3"/>
    <cellStyle name="Hyperlink" xfId="4" builtinId="8"/>
    <cellStyle name="Normal" xfId="0" builtinId="0"/>
    <cellStyle name="Normal 2" xfId="5"/>
    <cellStyle name="Normal 3" xfId="6"/>
    <cellStyle name="Percent" xfId="7"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94"/>
  <sheetViews>
    <sheetView tabSelected="1" topLeftCell="A12" workbookViewId="0">
      <selection activeCell="B50" sqref="B50"/>
    </sheetView>
  </sheetViews>
  <sheetFormatPr defaultRowHeight="12.75" x14ac:dyDescent="0.2"/>
  <cols>
    <col min="1" max="1" width="43" style="7" customWidth="1"/>
    <col min="2" max="2" width="5.140625" style="8" bestFit="1" customWidth="1"/>
    <col min="3" max="3" width="4.7109375" style="7" customWidth="1"/>
    <col min="4" max="4" width="9.85546875" style="7" customWidth="1"/>
    <col min="5" max="5" width="5.7109375" style="7" customWidth="1"/>
    <col min="6" max="6" width="9.85546875" style="7" customWidth="1"/>
    <col min="7" max="7" width="4.7109375" style="7" customWidth="1"/>
    <col min="8" max="8" width="9.85546875" style="7" customWidth="1"/>
    <col min="9" max="9" width="5.7109375" style="7" customWidth="1"/>
    <col min="10" max="10" width="9.85546875" style="7" customWidth="1"/>
    <col min="11" max="16384" width="9.140625" style="7"/>
  </cols>
  <sheetData>
    <row r="1" spans="1:11" ht="15.75" x14ac:dyDescent="0.25">
      <c r="A1" s="616" t="s">
        <v>2</v>
      </c>
      <c r="B1" s="616"/>
      <c r="C1" s="616"/>
      <c r="D1" s="616"/>
      <c r="E1" s="616"/>
      <c r="F1" s="616"/>
      <c r="G1" s="616"/>
      <c r="H1" s="616"/>
      <c r="I1" s="616"/>
      <c r="J1" s="616"/>
    </row>
    <row r="2" spans="1:11" ht="15" x14ac:dyDescent="0.25">
      <c r="A2" s="617" t="s">
        <v>116</v>
      </c>
      <c r="B2" s="617"/>
      <c r="C2" s="617"/>
      <c r="D2" s="617"/>
      <c r="E2" s="617"/>
      <c r="F2" s="617"/>
      <c r="G2" s="617"/>
      <c r="H2" s="617"/>
      <c r="I2" s="617"/>
      <c r="J2" s="617"/>
    </row>
    <row r="3" spans="1:11" ht="15.75" x14ac:dyDescent="0.25">
      <c r="A3" s="5"/>
      <c r="C3" s="5"/>
      <c r="D3" s="5"/>
      <c r="E3" s="5"/>
      <c r="F3" s="5"/>
      <c r="H3" s="5"/>
      <c r="I3" s="5"/>
      <c r="J3" s="5"/>
    </row>
    <row r="4" spans="1:11" ht="15.75" x14ac:dyDescent="0.25">
      <c r="A4" s="618" t="s">
        <v>124</v>
      </c>
      <c r="B4" s="618"/>
      <c r="C4" s="618"/>
      <c r="D4" s="618"/>
      <c r="E4" s="618"/>
      <c r="F4" s="618"/>
      <c r="G4" s="618"/>
      <c r="H4" s="618"/>
      <c r="I4" s="618"/>
      <c r="J4" s="618"/>
    </row>
    <row r="5" spans="1:11" ht="15.75" x14ac:dyDescent="0.25">
      <c r="A5" s="619" t="s">
        <v>1305</v>
      </c>
      <c r="B5" s="619"/>
      <c r="C5" s="619"/>
      <c r="D5" s="619"/>
      <c r="E5" s="619"/>
      <c r="F5" s="619"/>
      <c r="G5" s="619"/>
      <c r="H5" s="619"/>
      <c r="I5" s="619"/>
      <c r="J5" s="619"/>
      <c r="K5" s="14"/>
    </row>
    <row r="6" spans="1:11" x14ac:dyDescent="0.2">
      <c r="A6" s="372"/>
      <c r="B6" s="372"/>
      <c r="C6" s="372"/>
      <c r="D6" s="372"/>
      <c r="E6" s="372"/>
      <c r="F6" s="372"/>
      <c r="G6" s="372"/>
      <c r="H6" s="372"/>
      <c r="I6" s="372"/>
      <c r="J6" s="372"/>
    </row>
    <row r="7" spans="1:11" x14ac:dyDescent="0.2">
      <c r="A7" s="373"/>
      <c r="B7" s="186"/>
      <c r="C7" s="186"/>
      <c r="D7" s="186"/>
      <c r="E7" s="186"/>
      <c r="F7" s="186"/>
      <c r="G7" s="188"/>
      <c r="H7" s="186"/>
      <c r="I7" s="186"/>
      <c r="J7" s="186"/>
    </row>
    <row r="8" spans="1:11" x14ac:dyDescent="0.2">
      <c r="A8" s="373"/>
      <c r="B8" s="186"/>
      <c r="C8" s="186"/>
      <c r="D8" s="186"/>
      <c r="E8" s="186"/>
      <c r="F8" s="186"/>
      <c r="G8" s="188"/>
      <c r="H8" s="186"/>
      <c r="I8" s="186"/>
      <c r="J8" s="186"/>
    </row>
    <row r="9" spans="1:11" x14ac:dyDescent="0.2">
      <c r="A9" s="186"/>
      <c r="B9" s="186"/>
      <c r="C9" s="186"/>
      <c r="D9" s="615" t="s">
        <v>140</v>
      </c>
      <c r="E9" s="615"/>
      <c r="F9" s="615"/>
      <c r="H9" s="615" t="s">
        <v>88</v>
      </c>
      <c r="I9" s="615"/>
      <c r="J9" s="615"/>
    </row>
    <row r="10" spans="1:11" x14ac:dyDescent="0.2">
      <c r="A10" s="186"/>
      <c r="B10" s="186"/>
      <c r="C10" s="186"/>
      <c r="D10" s="2" t="s">
        <v>89</v>
      </c>
      <c r="E10" s="8"/>
      <c r="F10" s="2" t="s">
        <v>83</v>
      </c>
      <c r="H10" s="2" t="s">
        <v>89</v>
      </c>
      <c r="I10" s="8"/>
      <c r="J10" s="2" t="s">
        <v>83</v>
      </c>
    </row>
    <row r="11" spans="1:11" x14ac:dyDescent="0.2">
      <c r="A11" s="606"/>
      <c r="B11" s="606"/>
      <c r="C11" s="186"/>
      <c r="D11" s="2" t="s">
        <v>85</v>
      </c>
      <c r="E11" s="8"/>
      <c r="F11" s="2" t="s">
        <v>84</v>
      </c>
      <c r="H11" s="2" t="s">
        <v>86</v>
      </c>
      <c r="I11" s="8"/>
      <c r="J11" s="2" t="s">
        <v>84</v>
      </c>
    </row>
    <row r="12" spans="1:11" x14ac:dyDescent="0.2">
      <c r="A12" s="606"/>
      <c r="B12" s="606"/>
      <c r="C12" s="186"/>
      <c r="D12" s="8"/>
      <c r="E12" s="8"/>
      <c r="F12" s="2" t="s">
        <v>85</v>
      </c>
      <c r="H12" s="8"/>
      <c r="I12" s="8"/>
      <c r="J12" s="2" t="s">
        <v>87</v>
      </c>
    </row>
    <row r="13" spans="1:11" x14ac:dyDescent="0.2">
      <c r="A13" s="606"/>
      <c r="B13" s="603" t="s">
        <v>17</v>
      </c>
      <c r="D13" s="88" t="s">
        <v>1304</v>
      </c>
      <c r="E13" s="2"/>
      <c r="F13" s="88" t="s">
        <v>1009</v>
      </c>
      <c r="H13" s="88" t="s">
        <v>1304</v>
      </c>
      <c r="I13" s="2"/>
      <c r="J13" s="88" t="s">
        <v>1009</v>
      </c>
    </row>
    <row r="14" spans="1:11" x14ac:dyDescent="0.2">
      <c r="A14" s="604"/>
      <c r="B14" s="606"/>
      <c r="C14" s="331"/>
      <c r="D14" s="4" t="s">
        <v>1</v>
      </c>
      <c r="E14" s="1"/>
      <c r="F14" s="159" t="s">
        <v>1</v>
      </c>
      <c r="H14" s="4" t="s">
        <v>1</v>
      </c>
      <c r="I14" s="1"/>
      <c r="J14" s="159" t="s">
        <v>1</v>
      </c>
    </row>
    <row r="15" spans="1:11" x14ac:dyDescent="0.2">
      <c r="A15" s="604"/>
      <c r="B15" s="606"/>
      <c r="C15" s="331"/>
      <c r="D15" s="4" t="s">
        <v>619</v>
      </c>
      <c r="E15" s="1"/>
      <c r="F15" s="4" t="s">
        <v>619</v>
      </c>
      <c r="H15" s="4" t="s">
        <v>619</v>
      </c>
      <c r="I15" s="1"/>
      <c r="J15" s="4" t="s">
        <v>619</v>
      </c>
    </row>
    <row r="16" spans="1:11" x14ac:dyDescent="0.2">
      <c r="A16" s="3"/>
      <c r="B16" s="606"/>
      <c r="C16" s="331"/>
      <c r="D16" s="331"/>
      <c r="E16" s="331"/>
      <c r="F16" s="331"/>
      <c r="G16" s="188"/>
      <c r="H16" s="331"/>
      <c r="I16" s="331"/>
      <c r="J16" s="331"/>
    </row>
    <row r="17" spans="1:10" x14ac:dyDescent="0.2">
      <c r="A17" s="607" t="s">
        <v>27</v>
      </c>
      <c r="B17" s="606"/>
      <c r="C17" s="332"/>
      <c r="D17" s="9">
        <v>13042</v>
      </c>
      <c r="E17" s="374"/>
      <c r="F17" s="9">
        <f>15912</f>
        <v>15912</v>
      </c>
      <c r="G17" s="196"/>
      <c r="H17" s="9">
        <v>13042</v>
      </c>
      <c r="I17" s="374"/>
      <c r="J17" s="9">
        <f>15912</f>
        <v>15912</v>
      </c>
    </row>
    <row r="18" spans="1:10" x14ac:dyDescent="0.2">
      <c r="A18" s="607" t="s">
        <v>28</v>
      </c>
      <c r="B18" s="606"/>
      <c r="C18" s="332"/>
      <c r="D18" s="11">
        <v>-11586</v>
      </c>
      <c r="E18" s="374"/>
      <c r="F18" s="11">
        <f>-13418</f>
        <v>-13418</v>
      </c>
      <c r="G18" s="196"/>
      <c r="H18" s="11">
        <v>-11586</v>
      </c>
      <c r="I18" s="374"/>
      <c r="J18" s="11">
        <f>-13418</f>
        <v>-13418</v>
      </c>
    </row>
    <row r="19" spans="1:10" x14ac:dyDescent="0.2">
      <c r="A19" s="13" t="s">
        <v>48</v>
      </c>
      <c r="B19" s="606"/>
      <c r="C19" s="332"/>
      <c r="D19" s="9">
        <f>SUM(D17:D18)</f>
        <v>1456</v>
      </c>
      <c r="E19" s="374"/>
      <c r="F19" s="9">
        <f>SUM(F17:F18)</f>
        <v>2494</v>
      </c>
      <c r="G19" s="196"/>
      <c r="H19" s="9">
        <f>SUM(H17:H18)</f>
        <v>1456</v>
      </c>
      <c r="I19" s="374"/>
      <c r="J19" s="9">
        <f>SUM(J17:J18)</f>
        <v>2494</v>
      </c>
    </row>
    <row r="20" spans="1:10" x14ac:dyDescent="0.2">
      <c r="A20" s="607"/>
      <c r="B20" s="606"/>
      <c r="C20" s="332"/>
      <c r="D20" s="9"/>
      <c r="E20" s="374"/>
      <c r="F20" s="9"/>
      <c r="G20" s="196"/>
      <c r="H20" s="9"/>
      <c r="I20" s="374"/>
      <c r="J20" s="9"/>
    </row>
    <row r="21" spans="1:10" x14ac:dyDescent="0.2">
      <c r="A21" s="607" t="s">
        <v>29</v>
      </c>
      <c r="B21" s="606"/>
      <c r="C21" s="332"/>
      <c r="D21" s="9">
        <v>234</v>
      </c>
      <c r="E21" s="374"/>
      <c r="F21" s="9">
        <f>478</f>
        <v>478</v>
      </c>
      <c r="G21" s="196"/>
      <c r="H21" s="9">
        <v>234</v>
      </c>
      <c r="I21" s="374"/>
      <c r="J21" s="9">
        <f>478</f>
        <v>478</v>
      </c>
    </row>
    <row r="22" spans="1:10" x14ac:dyDescent="0.2">
      <c r="A22" s="608" t="s">
        <v>47</v>
      </c>
      <c r="B22" s="606"/>
      <c r="C22" s="332"/>
      <c r="D22" s="9">
        <v>-981</v>
      </c>
      <c r="E22" s="374"/>
      <c r="F22" s="9">
        <f>-1073</f>
        <v>-1073</v>
      </c>
      <c r="G22" s="196"/>
      <c r="H22" s="9">
        <v>-981</v>
      </c>
      <c r="I22" s="374"/>
      <c r="J22" s="9">
        <f>-1073</f>
        <v>-1073</v>
      </c>
    </row>
    <row r="23" spans="1:10" x14ac:dyDescent="0.2">
      <c r="A23" s="607" t="s">
        <v>30</v>
      </c>
      <c r="B23" s="606"/>
      <c r="C23" s="332"/>
      <c r="D23" s="11">
        <v>-2377</v>
      </c>
      <c r="E23" s="374"/>
      <c r="F23" s="11">
        <f>-2393</f>
        <v>-2393</v>
      </c>
      <c r="G23" s="324"/>
      <c r="H23" s="11">
        <v>-2377</v>
      </c>
      <c r="I23" s="374"/>
      <c r="J23" s="11">
        <f>-2393</f>
        <v>-2393</v>
      </c>
    </row>
    <row r="24" spans="1:10" x14ac:dyDescent="0.2">
      <c r="A24" s="13" t="s">
        <v>1109</v>
      </c>
      <c r="B24" s="606"/>
      <c r="C24" s="332"/>
      <c r="D24" s="9">
        <f>SUM(D19:D23)</f>
        <v>-1668</v>
      </c>
      <c r="E24" s="374"/>
      <c r="F24" s="9">
        <f>SUM(F19:F23)</f>
        <v>-494</v>
      </c>
      <c r="G24" s="196"/>
      <c r="H24" s="9">
        <f>SUM(H19:H23)</f>
        <v>-1668</v>
      </c>
      <c r="I24" s="374"/>
      <c r="J24" s="9">
        <f>SUM(J19:J23)</f>
        <v>-494</v>
      </c>
    </row>
    <row r="25" spans="1:10" x14ac:dyDescent="0.2">
      <c r="A25" s="13"/>
      <c r="B25" s="606"/>
      <c r="C25" s="332"/>
      <c r="D25" s="9"/>
      <c r="E25" s="374"/>
      <c r="F25" s="9"/>
      <c r="G25" s="196"/>
      <c r="H25" s="9"/>
      <c r="I25" s="374"/>
      <c r="J25" s="9"/>
    </row>
    <row r="26" spans="1:10" x14ac:dyDescent="0.2">
      <c r="A26" s="607" t="s">
        <v>3</v>
      </c>
      <c r="B26" s="606"/>
      <c r="C26" s="332"/>
      <c r="D26" s="11">
        <v>-582</v>
      </c>
      <c r="E26" s="374"/>
      <c r="F26" s="11">
        <f>-584</f>
        <v>-584</v>
      </c>
      <c r="G26" s="196"/>
      <c r="H26" s="11">
        <v>-582</v>
      </c>
      <c r="I26" s="374"/>
      <c r="J26" s="11">
        <f>-584</f>
        <v>-584</v>
      </c>
    </row>
    <row r="27" spans="1:10" x14ac:dyDescent="0.2">
      <c r="A27" s="13" t="s">
        <v>137</v>
      </c>
      <c r="B27" s="606"/>
      <c r="C27" s="332"/>
      <c r="D27" s="9">
        <f>SUM(D24:D26)</f>
        <v>-2250</v>
      </c>
      <c r="E27" s="374"/>
      <c r="F27" s="9">
        <f>SUM(F24:F26)</f>
        <v>-1078</v>
      </c>
      <c r="G27" s="196"/>
      <c r="H27" s="9">
        <f>SUM(H24:H26)</f>
        <v>-2250</v>
      </c>
      <c r="I27" s="374"/>
      <c r="J27" s="9">
        <f>SUM(J24:J26)</f>
        <v>-1078</v>
      </c>
    </row>
    <row r="28" spans="1:10" x14ac:dyDescent="0.2">
      <c r="A28" s="13"/>
      <c r="B28" s="606"/>
      <c r="C28" s="332"/>
      <c r="D28" s="9"/>
      <c r="E28" s="374"/>
      <c r="F28" s="9"/>
      <c r="G28" s="196"/>
      <c r="H28" s="9"/>
      <c r="I28" s="374"/>
      <c r="J28" s="9"/>
    </row>
    <row r="29" spans="1:10" x14ac:dyDescent="0.2">
      <c r="A29" s="608" t="s">
        <v>674</v>
      </c>
      <c r="B29" s="606">
        <v>18</v>
      </c>
      <c r="C29" s="332"/>
      <c r="D29" s="245">
        <v>20</v>
      </c>
      <c r="E29" s="375"/>
      <c r="F29" s="245">
        <v>0</v>
      </c>
      <c r="G29" s="376"/>
      <c r="H29" s="245">
        <v>20</v>
      </c>
      <c r="I29" s="374"/>
      <c r="J29" s="245">
        <v>0</v>
      </c>
    </row>
    <row r="30" spans="1:10" x14ac:dyDescent="0.2">
      <c r="A30" s="13" t="s">
        <v>1110</v>
      </c>
      <c r="B30" s="606">
        <v>19</v>
      </c>
      <c r="C30" s="332"/>
      <c r="D30" s="246">
        <f>SUM(D27:D29)</f>
        <v>-2230</v>
      </c>
      <c r="E30" s="375"/>
      <c r="F30" s="246">
        <f>SUM(F27:F29)</f>
        <v>-1078</v>
      </c>
      <c r="G30" s="376"/>
      <c r="H30" s="246">
        <f>SUM(H27:H29)</f>
        <v>-2230</v>
      </c>
      <c r="I30" s="374"/>
      <c r="J30" s="246">
        <f>SUM(J27:J29)</f>
        <v>-1078</v>
      </c>
    </row>
    <row r="31" spans="1:10" x14ac:dyDescent="0.2">
      <c r="A31" s="13"/>
      <c r="B31" s="606"/>
      <c r="C31" s="332"/>
      <c r="D31" s="9"/>
      <c r="E31" s="374"/>
      <c r="F31" s="9"/>
      <c r="G31" s="196"/>
      <c r="H31" s="9"/>
      <c r="I31" s="374"/>
      <c r="J31" s="9"/>
    </row>
    <row r="32" spans="1:10" x14ac:dyDescent="0.2">
      <c r="A32" s="609" t="s">
        <v>1205</v>
      </c>
      <c r="B32" s="606"/>
      <c r="C32" s="331"/>
      <c r="D32" s="27"/>
      <c r="E32" s="196"/>
      <c r="F32" s="27"/>
      <c r="G32" s="196"/>
      <c r="H32" s="27"/>
      <c r="I32" s="196"/>
      <c r="J32" s="27"/>
    </row>
    <row r="33" spans="1:10" x14ac:dyDescent="0.2">
      <c r="A33" s="608" t="s">
        <v>134</v>
      </c>
      <c r="B33" s="606"/>
      <c r="C33" s="331"/>
      <c r="D33" s="11">
        <v>0</v>
      </c>
      <c r="E33" s="374"/>
      <c r="F33" s="11">
        <v>0</v>
      </c>
      <c r="G33" s="196"/>
      <c r="H33" s="11">
        <v>0</v>
      </c>
      <c r="I33" s="374"/>
      <c r="J33" s="11">
        <v>0</v>
      </c>
    </row>
    <row r="34" spans="1:10" x14ac:dyDescent="0.2">
      <c r="A34" s="610" t="s">
        <v>1206</v>
      </c>
      <c r="B34" s="606"/>
      <c r="C34" s="331"/>
      <c r="D34" s="9"/>
      <c r="E34" s="374"/>
      <c r="F34" s="9"/>
      <c r="G34" s="196"/>
      <c r="H34" s="9"/>
      <c r="I34" s="374"/>
      <c r="J34" s="9"/>
    </row>
    <row r="35" spans="1:10" ht="13.5" thickBot="1" x14ac:dyDescent="0.25">
      <c r="A35" s="13" t="s">
        <v>132</v>
      </c>
      <c r="B35" s="606"/>
      <c r="C35" s="331"/>
      <c r="D35" s="12">
        <f>SUM(D30:D34)</f>
        <v>-2230</v>
      </c>
      <c r="E35" s="374"/>
      <c r="F35" s="12">
        <f>SUM(F30:F34)</f>
        <v>-1078</v>
      </c>
      <c r="G35" s="196"/>
      <c r="H35" s="12">
        <f>SUM(H30:H34)</f>
        <v>-2230</v>
      </c>
      <c r="I35" s="374"/>
      <c r="J35" s="12">
        <f>SUM(J30:J34)</f>
        <v>-1078</v>
      </c>
    </row>
    <row r="36" spans="1:10" ht="13.5" thickTop="1" x14ac:dyDescent="0.2">
      <c r="A36" s="607"/>
      <c r="B36" s="606"/>
      <c r="C36" s="331"/>
      <c r="D36" s="9"/>
      <c r="E36" s="374"/>
      <c r="F36" s="9"/>
      <c r="G36" s="196"/>
      <c r="H36" s="9"/>
      <c r="I36" s="374"/>
      <c r="J36" s="9"/>
    </row>
    <row r="37" spans="1:10" s="313" customFormat="1" x14ac:dyDescent="0.2">
      <c r="A37" s="609" t="s">
        <v>782</v>
      </c>
      <c r="B37" s="609"/>
      <c r="C37" s="335"/>
      <c r="D37" s="9"/>
      <c r="E37" s="333"/>
      <c r="F37" s="9"/>
      <c r="G37" s="377"/>
      <c r="H37" s="9"/>
      <c r="I37" s="333"/>
      <c r="J37" s="9"/>
    </row>
    <row r="38" spans="1:10" s="313" customFormat="1" x14ac:dyDescent="0.2">
      <c r="A38" s="611" t="s">
        <v>463</v>
      </c>
      <c r="B38" s="609"/>
      <c r="C38" s="335"/>
      <c r="D38" s="9">
        <v>-2041</v>
      </c>
      <c r="E38" s="333"/>
      <c r="F38" s="9">
        <f>-855</f>
        <v>-855</v>
      </c>
      <c r="G38" s="377"/>
      <c r="H38" s="9">
        <v>-2041</v>
      </c>
      <c r="I38" s="333"/>
      <c r="J38" s="9">
        <f>-855</f>
        <v>-855</v>
      </c>
    </row>
    <row r="39" spans="1:10" s="313" customFormat="1" x14ac:dyDescent="0.2">
      <c r="A39" s="611" t="s">
        <v>464</v>
      </c>
      <c r="B39" s="609"/>
      <c r="C39" s="335"/>
      <c r="D39" s="9">
        <v>-189</v>
      </c>
      <c r="E39" s="333"/>
      <c r="F39" s="9">
        <f>-223</f>
        <v>-223</v>
      </c>
      <c r="G39" s="377"/>
      <c r="H39" s="9">
        <v>-189</v>
      </c>
      <c r="I39" s="333"/>
      <c r="J39" s="9">
        <f>-223</f>
        <v>-223</v>
      </c>
    </row>
    <row r="40" spans="1:10" s="313" customFormat="1" ht="13.5" thickBot="1" x14ac:dyDescent="0.25">
      <c r="A40" s="607"/>
      <c r="B40" s="609"/>
      <c r="C40" s="335"/>
      <c r="D40" s="10">
        <f>SUM(D38:D39)</f>
        <v>-2230</v>
      </c>
      <c r="E40" s="333"/>
      <c r="F40" s="10">
        <f>SUM(F38:F39)</f>
        <v>-1078</v>
      </c>
      <c r="G40" s="377"/>
      <c r="H40" s="10">
        <f>SUM(H38:H39)</f>
        <v>-2230</v>
      </c>
      <c r="I40" s="333"/>
      <c r="J40" s="10">
        <f>SUM(J38:J39)</f>
        <v>-1078</v>
      </c>
    </row>
    <row r="41" spans="1:10" s="313" customFormat="1" ht="13.5" thickTop="1" x14ac:dyDescent="0.2">
      <c r="A41" s="607"/>
      <c r="B41" s="609"/>
      <c r="C41" s="335"/>
      <c r="D41" s="9"/>
      <c r="E41" s="333"/>
      <c r="F41" s="9"/>
      <c r="G41" s="377"/>
      <c r="H41" s="9"/>
      <c r="I41" s="333"/>
      <c r="J41" s="9"/>
    </row>
    <row r="42" spans="1:10" s="313" customFormat="1" x14ac:dyDescent="0.2">
      <c r="A42" s="609" t="s">
        <v>783</v>
      </c>
      <c r="B42" s="609"/>
      <c r="C42" s="335"/>
      <c r="D42" s="9"/>
      <c r="E42" s="333"/>
      <c r="F42" s="9"/>
      <c r="G42" s="377"/>
      <c r="H42" s="9"/>
      <c r="I42" s="333"/>
      <c r="J42" s="9"/>
    </row>
    <row r="43" spans="1:10" s="313" customFormat="1" x14ac:dyDescent="0.2">
      <c r="A43" s="609" t="s">
        <v>133</v>
      </c>
      <c r="B43" s="609"/>
      <c r="C43" s="335"/>
      <c r="D43" s="9"/>
      <c r="E43" s="333"/>
      <c r="F43" s="9"/>
      <c r="G43" s="377"/>
      <c r="H43" s="9"/>
      <c r="I43" s="333"/>
      <c r="J43" s="9"/>
    </row>
    <row r="44" spans="1:10" s="313" customFormat="1" x14ac:dyDescent="0.2">
      <c r="A44" s="611" t="s">
        <v>463</v>
      </c>
      <c r="B44" s="609"/>
      <c r="C44" s="335"/>
      <c r="D44" s="9">
        <v>-2041</v>
      </c>
      <c r="E44" s="333"/>
      <c r="F44" s="9">
        <f>-855</f>
        <v>-855</v>
      </c>
      <c r="G44" s="377"/>
      <c r="H44" s="9">
        <v>-2041</v>
      </c>
      <c r="I44" s="333"/>
      <c r="J44" s="9">
        <f>-855</f>
        <v>-855</v>
      </c>
    </row>
    <row r="45" spans="1:10" s="313" customFormat="1" x14ac:dyDescent="0.2">
      <c r="A45" s="611" t="s">
        <v>464</v>
      </c>
      <c r="B45" s="609"/>
      <c r="C45" s="335"/>
      <c r="D45" s="9">
        <v>-189</v>
      </c>
      <c r="E45" s="333"/>
      <c r="F45" s="9">
        <f>-223</f>
        <v>-223</v>
      </c>
      <c r="G45" s="377"/>
      <c r="H45" s="9">
        <v>-189</v>
      </c>
      <c r="I45" s="333"/>
      <c r="J45" s="9">
        <f>-223</f>
        <v>-223</v>
      </c>
    </row>
    <row r="46" spans="1:10" s="313" customFormat="1" ht="13.5" thickBot="1" x14ac:dyDescent="0.25">
      <c r="A46" s="611"/>
      <c r="B46" s="609"/>
      <c r="C46" s="335"/>
      <c r="D46" s="10">
        <f>SUM(D44:D45)</f>
        <v>-2230</v>
      </c>
      <c r="E46" s="333"/>
      <c r="F46" s="10">
        <f>SUM(F44:F45)</f>
        <v>-1078</v>
      </c>
      <c r="G46" s="377"/>
      <c r="H46" s="10">
        <f>SUM(H44:H45)</f>
        <v>-2230</v>
      </c>
      <c r="I46" s="333"/>
      <c r="J46" s="10">
        <f>SUM(J44:J45)</f>
        <v>-1078</v>
      </c>
    </row>
    <row r="47" spans="1:10" ht="13.5" thickTop="1" x14ac:dyDescent="0.2">
      <c r="A47" s="608"/>
      <c r="B47" s="606"/>
      <c r="C47" s="332"/>
      <c r="D47" s="9"/>
      <c r="E47" s="336"/>
      <c r="F47" s="9"/>
      <c r="G47" s="378"/>
      <c r="H47" s="9"/>
      <c r="I47" s="336"/>
      <c r="J47" s="9"/>
    </row>
    <row r="48" spans="1:10" x14ac:dyDescent="0.2">
      <c r="A48" s="612" t="s">
        <v>1111</v>
      </c>
      <c r="B48" s="606"/>
      <c r="C48" s="332"/>
      <c r="D48" s="9"/>
      <c r="E48" s="336"/>
      <c r="F48" s="9"/>
      <c r="G48" s="188"/>
      <c r="H48" s="9"/>
      <c r="I48" s="336"/>
      <c r="J48" s="9"/>
    </row>
    <row r="49" spans="1:10" x14ac:dyDescent="0.2">
      <c r="A49" s="612" t="s">
        <v>465</v>
      </c>
      <c r="B49" s="606"/>
      <c r="C49" s="332"/>
      <c r="D49" s="9"/>
      <c r="E49" s="336"/>
      <c r="F49" s="9"/>
      <c r="G49" s="188"/>
      <c r="H49" s="9"/>
      <c r="I49" s="336"/>
      <c r="J49" s="9"/>
    </row>
    <row r="50" spans="1:10" x14ac:dyDescent="0.2">
      <c r="A50" s="608" t="s">
        <v>1112</v>
      </c>
      <c r="B50" s="613">
        <v>26</v>
      </c>
      <c r="C50" s="380"/>
      <c r="D50" s="343">
        <v>-1.0900000000000001</v>
      </c>
      <c r="E50" s="381"/>
      <c r="F50" s="343">
        <f>-0.46</f>
        <v>-0.46</v>
      </c>
      <c r="G50" s="382"/>
      <c r="H50" s="343">
        <v>-1.0900000000000001</v>
      </c>
      <c r="I50" s="381"/>
      <c r="J50" s="343">
        <f>-0.46</f>
        <v>-0.46</v>
      </c>
    </row>
    <row r="51" spans="1:10" x14ac:dyDescent="0.2">
      <c r="A51" s="607"/>
      <c r="B51" s="606"/>
      <c r="C51" s="332"/>
      <c r="D51" s="337"/>
      <c r="E51" s="338"/>
      <c r="F51" s="337"/>
      <c r="G51" s="188"/>
      <c r="H51" s="337"/>
      <c r="I51" s="338"/>
      <c r="J51" s="337"/>
    </row>
    <row r="52" spans="1:10" x14ac:dyDescent="0.2">
      <c r="A52" s="608"/>
      <c r="B52" s="606"/>
      <c r="C52" s="332"/>
      <c r="D52" s="333"/>
      <c r="E52" s="336"/>
      <c r="F52" s="333"/>
      <c r="G52" s="188"/>
      <c r="H52" s="333"/>
      <c r="I52" s="336"/>
      <c r="J52" s="333"/>
    </row>
    <row r="53" spans="1:10" x14ac:dyDescent="0.2">
      <c r="A53" s="334"/>
      <c r="B53" s="186"/>
      <c r="C53" s="332"/>
      <c r="D53" s="333"/>
      <c r="E53" s="336"/>
      <c r="F53" s="333"/>
      <c r="G53" s="188"/>
      <c r="H53" s="333"/>
      <c r="I53" s="336"/>
      <c r="J53" s="333"/>
    </row>
    <row r="54" spans="1:10" ht="12.75" customHeight="1" x14ac:dyDescent="0.2">
      <c r="A54" s="614" t="s">
        <v>1311</v>
      </c>
      <c r="B54" s="614"/>
      <c r="C54" s="614"/>
      <c r="D54" s="614"/>
      <c r="E54" s="614"/>
      <c r="F54" s="614"/>
      <c r="G54" s="614"/>
      <c r="H54" s="614"/>
      <c r="I54" s="614"/>
      <c r="J54" s="614"/>
    </row>
    <row r="55" spans="1:10" x14ac:dyDescent="0.2">
      <c r="A55" s="614"/>
      <c r="B55" s="614"/>
      <c r="C55" s="614"/>
      <c r="D55" s="614"/>
      <c r="E55" s="614"/>
      <c r="F55" s="614"/>
      <c r="G55" s="614"/>
      <c r="H55" s="614"/>
      <c r="I55" s="614"/>
      <c r="J55" s="614"/>
    </row>
    <row r="56" spans="1:10" x14ac:dyDescent="0.2">
      <c r="A56" s="99"/>
      <c r="B56" s="99"/>
      <c r="C56" s="99"/>
      <c r="D56" s="99"/>
      <c r="E56" s="99"/>
      <c r="F56" s="99"/>
      <c r="G56" s="99"/>
      <c r="H56" s="99"/>
      <c r="I56" s="99"/>
      <c r="J56" s="99"/>
    </row>
    <row r="57" spans="1:10" x14ac:dyDescent="0.2">
      <c r="A57" s="1"/>
      <c r="C57" s="1"/>
      <c r="D57" s="1"/>
      <c r="E57" s="1"/>
      <c r="F57" s="1"/>
      <c r="H57" s="1"/>
      <c r="I57" s="1"/>
      <c r="J57" s="1"/>
    </row>
    <row r="58" spans="1:10" x14ac:dyDescent="0.2">
      <c r="A58" s="1"/>
      <c r="C58" s="1"/>
      <c r="D58" s="1"/>
      <c r="E58" s="1"/>
      <c r="F58" s="1"/>
      <c r="H58" s="1"/>
      <c r="I58" s="1"/>
      <c r="J58" s="1"/>
    </row>
    <row r="59" spans="1:10" x14ac:dyDescent="0.2">
      <c r="A59" s="1"/>
      <c r="C59" s="1"/>
      <c r="D59" s="1"/>
      <c r="E59" s="1"/>
      <c r="F59" s="1"/>
      <c r="H59" s="1"/>
      <c r="I59" s="1"/>
      <c r="J59" s="1"/>
    </row>
    <row r="60" spans="1:10" x14ac:dyDescent="0.2">
      <c r="A60" s="1"/>
      <c r="C60" s="1"/>
      <c r="D60" s="1"/>
      <c r="E60" s="1"/>
      <c r="F60" s="1"/>
      <c r="H60" s="1"/>
      <c r="I60" s="1"/>
      <c r="J60" s="1"/>
    </row>
    <row r="61" spans="1:10" x14ac:dyDescent="0.2">
      <c r="A61" s="1"/>
      <c r="C61" s="1"/>
      <c r="D61" s="1"/>
      <c r="E61" s="1"/>
      <c r="F61" s="1"/>
      <c r="H61" s="1"/>
      <c r="I61" s="1"/>
      <c r="J61" s="1"/>
    </row>
    <row r="62" spans="1:10" x14ac:dyDescent="0.2">
      <c r="A62" s="1"/>
      <c r="C62" s="1"/>
      <c r="D62" s="1"/>
      <c r="E62" s="1"/>
      <c r="F62" s="1"/>
      <c r="H62" s="1"/>
      <c r="I62" s="1"/>
      <c r="J62" s="1"/>
    </row>
    <row r="63" spans="1:10" x14ac:dyDescent="0.2">
      <c r="A63" s="1"/>
      <c r="C63" s="1"/>
      <c r="D63" s="1"/>
      <c r="E63" s="1"/>
      <c r="F63" s="1"/>
      <c r="H63" s="1"/>
      <c r="I63" s="1"/>
      <c r="J63" s="1"/>
    </row>
    <row r="64" spans="1:10" x14ac:dyDescent="0.2">
      <c r="A64" s="1"/>
      <c r="C64" s="1"/>
      <c r="D64" s="1"/>
      <c r="E64" s="1"/>
      <c r="F64" s="1"/>
      <c r="H64" s="1"/>
      <c r="I64" s="1"/>
      <c r="J64" s="1"/>
    </row>
    <row r="65" spans="1:10" x14ac:dyDescent="0.2">
      <c r="A65" s="1"/>
      <c r="C65" s="1"/>
      <c r="D65" s="1"/>
      <c r="E65" s="1"/>
      <c r="F65" s="1"/>
      <c r="H65" s="1"/>
      <c r="I65" s="1"/>
      <c r="J65" s="1"/>
    </row>
    <row r="66" spans="1:10" x14ac:dyDescent="0.2">
      <c r="A66" s="1"/>
      <c r="C66" s="1"/>
      <c r="D66" s="1"/>
      <c r="E66" s="1"/>
      <c r="F66" s="1"/>
      <c r="H66" s="1"/>
      <c r="I66" s="1"/>
      <c r="J66" s="1"/>
    </row>
    <row r="67" spans="1:10" x14ac:dyDescent="0.2">
      <c r="A67" s="1"/>
      <c r="C67" s="1"/>
      <c r="D67" s="1"/>
      <c r="E67" s="1"/>
      <c r="F67" s="1"/>
      <c r="H67" s="1"/>
      <c r="I67" s="1"/>
      <c r="J67" s="1"/>
    </row>
    <row r="68" spans="1:10" x14ac:dyDescent="0.2">
      <c r="A68" s="1"/>
      <c r="C68" s="1"/>
      <c r="D68" s="1"/>
      <c r="E68" s="1"/>
      <c r="F68" s="1"/>
      <c r="H68" s="1"/>
      <c r="I68" s="1"/>
      <c r="J68" s="1"/>
    </row>
    <row r="69" spans="1:10" x14ac:dyDescent="0.2">
      <c r="A69" s="1"/>
      <c r="C69" s="1"/>
      <c r="D69" s="1"/>
      <c r="E69" s="1"/>
      <c r="F69" s="1"/>
      <c r="H69" s="1"/>
      <c r="I69" s="1"/>
      <c r="J69" s="1"/>
    </row>
    <row r="70" spans="1:10" x14ac:dyDescent="0.2">
      <c r="A70" s="1"/>
      <c r="C70" s="1"/>
      <c r="D70" s="1"/>
      <c r="E70" s="1"/>
      <c r="F70" s="1"/>
      <c r="H70" s="1"/>
      <c r="I70" s="1"/>
      <c r="J70" s="1"/>
    </row>
    <row r="71" spans="1:10" x14ac:dyDescent="0.2">
      <c r="A71" s="1"/>
      <c r="C71" s="1"/>
      <c r="D71" s="1"/>
      <c r="E71" s="1"/>
      <c r="F71" s="1"/>
      <c r="H71" s="1"/>
      <c r="I71" s="1"/>
      <c r="J71" s="1"/>
    </row>
    <row r="72" spans="1:10" x14ac:dyDescent="0.2">
      <c r="A72" s="1"/>
      <c r="C72" s="1"/>
      <c r="D72" s="1"/>
      <c r="E72" s="1"/>
      <c r="F72" s="1"/>
      <c r="H72" s="1"/>
      <c r="I72" s="1"/>
      <c r="J72" s="1"/>
    </row>
    <row r="73" spans="1:10" x14ac:dyDescent="0.2">
      <c r="A73" s="1"/>
      <c r="C73" s="1"/>
      <c r="D73" s="1"/>
      <c r="E73" s="1"/>
      <c r="F73" s="1"/>
      <c r="H73" s="1"/>
      <c r="I73" s="1"/>
      <c r="J73" s="1"/>
    </row>
    <row r="74" spans="1:10" x14ac:dyDescent="0.2">
      <c r="A74" s="1"/>
      <c r="C74" s="1"/>
      <c r="D74" s="1"/>
      <c r="E74" s="1"/>
      <c r="F74" s="1"/>
      <c r="H74" s="1"/>
      <c r="I74" s="1"/>
      <c r="J74" s="1"/>
    </row>
    <row r="75" spans="1:10" x14ac:dyDescent="0.2">
      <c r="A75" s="1"/>
      <c r="C75" s="1"/>
      <c r="D75" s="1"/>
      <c r="E75" s="1"/>
      <c r="F75" s="1"/>
      <c r="H75" s="1"/>
      <c r="I75" s="1"/>
      <c r="J75" s="1"/>
    </row>
    <row r="76" spans="1:10" x14ac:dyDescent="0.2">
      <c r="A76" s="1"/>
      <c r="C76" s="1"/>
      <c r="D76" s="1"/>
      <c r="E76" s="1"/>
      <c r="F76" s="1"/>
      <c r="H76" s="1"/>
      <c r="I76" s="1"/>
      <c r="J76" s="1"/>
    </row>
    <row r="77" spans="1:10" x14ac:dyDescent="0.2">
      <c r="A77" s="1"/>
      <c r="C77" s="1"/>
      <c r="D77" s="1"/>
      <c r="E77" s="1"/>
      <c r="F77" s="1"/>
      <c r="H77" s="1"/>
      <c r="I77" s="1"/>
      <c r="J77" s="1"/>
    </row>
    <row r="78" spans="1:10" x14ac:dyDescent="0.2">
      <c r="A78" s="1"/>
      <c r="C78" s="1"/>
      <c r="D78" s="1"/>
      <c r="E78" s="1"/>
      <c r="F78" s="1"/>
      <c r="H78" s="1"/>
      <c r="I78" s="1"/>
      <c r="J78" s="1"/>
    </row>
    <row r="79" spans="1:10" x14ac:dyDescent="0.2">
      <c r="A79" s="1"/>
      <c r="C79" s="1"/>
      <c r="D79" s="1"/>
      <c r="E79" s="1"/>
      <c r="F79" s="1"/>
      <c r="H79" s="1"/>
      <c r="I79" s="1"/>
      <c r="J79" s="1"/>
    </row>
    <row r="80" spans="1:10" x14ac:dyDescent="0.2">
      <c r="A80" s="1"/>
      <c r="C80" s="1"/>
      <c r="D80" s="1"/>
      <c r="E80" s="1"/>
      <c r="F80" s="1"/>
      <c r="H80" s="1"/>
      <c r="I80" s="1"/>
      <c r="J80" s="1"/>
    </row>
    <row r="81" spans="1:10" x14ac:dyDescent="0.2">
      <c r="A81" s="1"/>
      <c r="C81" s="1"/>
      <c r="D81" s="1"/>
      <c r="E81" s="1"/>
      <c r="F81" s="1"/>
      <c r="H81" s="1"/>
      <c r="I81" s="1"/>
      <c r="J81" s="1"/>
    </row>
    <row r="82" spans="1:10" x14ac:dyDescent="0.2">
      <c r="A82" s="1"/>
      <c r="C82" s="1"/>
      <c r="D82" s="1"/>
      <c r="E82" s="1"/>
      <c r="F82" s="1"/>
      <c r="H82" s="1"/>
      <c r="I82" s="1"/>
      <c r="J82" s="1"/>
    </row>
    <row r="83" spans="1:10" x14ac:dyDescent="0.2">
      <c r="A83" s="1"/>
      <c r="C83" s="1"/>
      <c r="D83" s="1"/>
      <c r="E83" s="1"/>
      <c r="F83" s="1"/>
      <c r="H83" s="1"/>
      <c r="I83" s="1"/>
      <c r="J83" s="1"/>
    </row>
    <row r="84" spans="1:10" x14ac:dyDescent="0.2">
      <c r="A84" s="1"/>
      <c r="C84" s="1"/>
      <c r="D84" s="1"/>
      <c r="E84" s="1"/>
      <c r="F84" s="1"/>
      <c r="H84" s="1"/>
      <c r="I84" s="1"/>
      <c r="J84" s="1"/>
    </row>
    <row r="85" spans="1:10" x14ac:dyDescent="0.2">
      <c r="A85" s="1"/>
      <c r="C85" s="1"/>
      <c r="D85" s="1"/>
      <c r="E85" s="1"/>
      <c r="F85" s="1"/>
      <c r="H85" s="1"/>
      <c r="I85" s="1"/>
      <c r="J85" s="1"/>
    </row>
    <row r="86" spans="1:10" x14ac:dyDescent="0.2">
      <c r="A86" s="1"/>
      <c r="C86" s="1"/>
      <c r="D86" s="1"/>
      <c r="E86" s="1"/>
      <c r="F86" s="1"/>
      <c r="H86" s="1"/>
      <c r="I86" s="1"/>
      <c r="J86" s="1"/>
    </row>
    <row r="87" spans="1:10" x14ac:dyDescent="0.2">
      <c r="A87" s="1"/>
      <c r="C87" s="1"/>
      <c r="D87" s="1"/>
      <c r="E87" s="1"/>
      <c r="F87" s="1"/>
      <c r="H87" s="1"/>
      <c r="I87" s="1"/>
      <c r="J87" s="1"/>
    </row>
    <row r="88" spans="1:10" x14ac:dyDescent="0.2">
      <c r="A88" s="1"/>
      <c r="C88" s="1"/>
      <c r="D88" s="1"/>
      <c r="E88" s="1"/>
      <c r="F88" s="1"/>
      <c r="H88" s="1"/>
      <c r="I88" s="1"/>
      <c r="J88" s="1"/>
    </row>
    <row r="89" spans="1:10" x14ac:dyDescent="0.2">
      <c r="A89" s="1"/>
      <c r="C89" s="1"/>
      <c r="D89" s="1"/>
      <c r="E89" s="1"/>
      <c r="F89" s="1"/>
      <c r="H89" s="1"/>
      <c r="I89" s="1"/>
      <c r="J89" s="1"/>
    </row>
    <row r="90" spans="1:10" x14ac:dyDescent="0.2">
      <c r="A90" s="1"/>
      <c r="C90" s="1"/>
      <c r="D90" s="1"/>
      <c r="E90" s="1"/>
      <c r="F90" s="1"/>
      <c r="H90" s="1"/>
      <c r="I90" s="1"/>
      <c r="J90" s="1"/>
    </row>
    <row r="91" spans="1:10" x14ac:dyDescent="0.2">
      <c r="A91" s="1"/>
      <c r="C91" s="1"/>
      <c r="D91" s="1"/>
      <c r="E91" s="1"/>
      <c r="F91" s="1"/>
      <c r="H91" s="1"/>
      <c r="I91" s="1"/>
      <c r="J91" s="1"/>
    </row>
    <row r="92" spans="1:10" x14ac:dyDescent="0.2">
      <c r="A92" s="1"/>
      <c r="C92" s="1"/>
      <c r="D92" s="1"/>
      <c r="E92" s="1"/>
      <c r="F92" s="1"/>
      <c r="H92" s="1"/>
      <c r="I92" s="1"/>
      <c r="J92" s="1"/>
    </row>
    <row r="93" spans="1:10" x14ac:dyDescent="0.2">
      <c r="A93" s="1"/>
      <c r="C93" s="1"/>
      <c r="D93" s="1"/>
      <c r="E93" s="1"/>
      <c r="F93" s="1"/>
      <c r="H93" s="1"/>
      <c r="I93" s="1"/>
      <c r="J93" s="1"/>
    </row>
    <row r="94" spans="1:10" x14ac:dyDescent="0.2">
      <c r="A94" s="1"/>
      <c r="C94" s="1"/>
      <c r="D94" s="1"/>
      <c r="E94" s="1"/>
      <c r="F94" s="1"/>
      <c r="H94" s="1"/>
      <c r="I94" s="1"/>
      <c r="J94" s="1"/>
    </row>
    <row r="95" spans="1:10" x14ac:dyDescent="0.2">
      <c r="A95" s="1"/>
      <c r="C95" s="1"/>
      <c r="D95" s="1"/>
      <c r="E95" s="1"/>
      <c r="F95" s="1"/>
      <c r="H95" s="1"/>
      <c r="I95" s="1"/>
      <c r="J95" s="1"/>
    </row>
    <row r="96" spans="1:10" x14ac:dyDescent="0.2">
      <c r="A96" s="1"/>
      <c r="C96" s="1"/>
      <c r="D96" s="1"/>
      <c r="E96" s="1"/>
      <c r="F96" s="1"/>
      <c r="H96" s="1"/>
      <c r="I96" s="1"/>
      <c r="J96" s="1"/>
    </row>
    <row r="97" spans="1:10" x14ac:dyDescent="0.2">
      <c r="A97" s="1"/>
      <c r="C97" s="1"/>
      <c r="D97" s="1"/>
      <c r="E97" s="1"/>
      <c r="F97" s="1"/>
      <c r="H97" s="1"/>
      <c r="I97" s="1"/>
      <c r="J97" s="1"/>
    </row>
    <row r="98" spans="1:10" x14ac:dyDescent="0.2">
      <c r="A98" s="1"/>
      <c r="C98" s="1"/>
      <c r="D98" s="1"/>
      <c r="E98" s="1"/>
      <c r="F98" s="1"/>
      <c r="H98" s="1"/>
      <c r="I98" s="1"/>
      <c r="J98" s="1"/>
    </row>
    <row r="99" spans="1:10" x14ac:dyDescent="0.2">
      <c r="A99" s="1"/>
      <c r="C99" s="1"/>
      <c r="D99" s="1"/>
      <c r="E99" s="1"/>
      <c r="F99" s="1"/>
      <c r="H99" s="1"/>
      <c r="I99" s="1"/>
      <c r="J99" s="1"/>
    </row>
    <row r="100" spans="1:10" x14ac:dyDescent="0.2">
      <c r="A100" s="1"/>
      <c r="C100" s="1"/>
      <c r="D100" s="1"/>
      <c r="E100" s="1"/>
      <c r="F100" s="1"/>
      <c r="H100" s="1"/>
      <c r="I100" s="1"/>
      <c r="J100" s="1"/>
    </row>
    <row r="101" spans="1:10" x14ac:dyDescent="0.2">
      <c r="A101" s="1"/>
      <c r="C101" s="1"/>
      <c r="D101" s="1"/>
      <c r="E101" s="1"/>
      <c r="F101" s="1"/>
      <c r="H101" s="1"/>
      <c r="I101" s="1"/>
      <c r="J101" s="1"/>
    </row>
    <row r="102" spans="1:10" x14ac:dyDescent="0.2">
      <c r="A102" s="1"/>
      <c r="C102" s="1"/>
      <c r="D102" s="1"/>
      <c r="E102" s="1"/>
      <c r="F102" s="1"/>
      <c r="H102" s="1"/>
      <c r="I102" s="1"/>
      <c r="J102" s="1"/>
    </row>
    <row r="103" spans="1:10" x14ac:dyDescent="0.2">
      <c r="A103" s="1"/>
      <c r="C103" s="1"/>
      <c r="D103" s="1"/>
      <c r="E103" s="1"/>
      <c r="F103" s="1"/>
      <c r="H103" s="1"/>
      <c r="I103" s="1"/>
      <c r="J103" s="1"/>
    </row>
    <row r="104" spans="1:10" x14ac:dyDescent="0.2">
      <c r="A104" s="1"/>
      <c r="C104" s="1"/>
      <c r="D104" s="1"/>
      <c r="E104" s="1"/>
      <c r="F104" s="1"/>
      <c r="H104" s="1"/>
      <c r="I104" s="1"/>
      <c r="J104" s="1"/>
    </row>
    <row r="105" spans="1:10" x14ac:dyDescent="0.2">
      <c r="A105" s="1"/>
      <c r="C105" s="1"/>
      <c r="D105" s="1"/>
      <c r="E105" s="1"/>
      <c r="F105" s="1"/>
      <c r="H105" s="1"/>
      <c r="I105" s="1"/>
      <c r="J105" s="1"/>
    </row>
    <row r="106" spans="1:10" x14ac:dyDescent="0.2">
      <c r="A106" s="1"/>
      <c r="C106" s="1"/>
      <c r="D106" s="1"/>
      <c r="E106" s="1"/>
      <c r="F106" s="1"/>
      <c r="H106" s="1"/>
      <c r="I106" s="1"/>
      <c r="J106" s="1"/>
    </row>
    <row r="107" spans="1:10" x14ac:dyDescent="0.2">
      <c r="A107" s="1"/>
      <c r="C107" s="1"/>
      <c r="D107" s="1"/>
      <c r="E107" s="1"/>
      <c r="F107" s="1"/>
      <c r="H107" s="1"/>
      <c r="I107" s="1"/>
      <c r="J107" s="1"/>
    </row>
    <row r="108" spans="1:10" x14ac:dyDescent="0.2">
      <c r="A108" s="1"/>
      <c r="C108" s="1"/>
      <c r="D108" s="1"/>
      <c r="E108" s="1"/>
      <c r="F108" s="1"/>
      <c r="H108" s="1"/>
      <c r="I108" s="1"/>
      <c r="J108" s="1"/>
    </row>
    <row r="109" spans="1:10" x14ac:dyDescent="0.2">
      <c r="A109" s="1"/>
      <c r="C109" s="1"/>
      <c r="D109" s="1"/>
      <c r="E109" s="1"/>
      <c r="F109" s="1"/>
      <c r="H109" s="1"/>
      <c r="I109" s="1"/>
      <c r="J109" s="1"/>
    </row>
    <row r="110" spans="1:10" x14ac:dyDescent="0.2">
      <c r="A110" s="1"/>
      <c r="C110" s="1"/>
      <c r="D110" s="1"/>
      <c r="E110" s="1"/>
      <c r="F110" s="1"/>
      <c r="H110" s="1"/>
      <c r="I110" s="1"/>
      <c r="J110" s="1"/>
    </row>
    <row r="111" spans="1:10" x14ac:dyDescent="0.2">
      <c r="A111" s="1"/>
      <c r="C111" s="1"/>
      <c r="D111" s="1"/>
      <c r="E111" s="1"/>
      <c r="F111" s="1"/>
      <c r="H111" s="1"/>
      <c r="I111" s="1"/>
      <c r="J111" s="1"/>
    </row>
    <row r="112" spans="1:10" x14ac:dyDescent="0.2">
      <c r="A112" s="1"/>
      <c r="C112" s="1"/>
      <c r="D112" s="1"/>
      <c r="E112" s="1"/>
      <c r="F112" s="1"/>
      <c r="H112" s="1"/>
      <c r="I112" s="1"/>
      <c r="J112" s="1"/>
    </row>
    <row r="113" spans="1:10" x14ac:dyDescent="0.2">
      <c r="A113" s="1"/>
      <c r="C113" s="1"/>
      <c r="D113" s="1"/>
      <c r="E113" s="1"/>
      <c r="F113" s="1"/>
      <c r="H113" s="1"/>
      <c r="I113" s="1"/>
      <c r="J113" s="1"/>
    </row>
    <row r="114" spans="1:10" x14ac:dyDescent="0.2">
      <c r="A114" s="1"/>
      <c r="C114" s="1"/>
      <c r="D114" s="1"/>
      <c r="E114" s="1"/>
      <c r="F114" s="1"/>
      <c r="H114" s="1"/>
      <c r="I114" s="1"/>
      <c r="J114" s="1"/>
    </row>
    <row r="115" spans="1:10" x14ac:dyDescent="0.2">
      <c r="A115" s="1"/>
      <c r="C115" s="1"/>
      <c r="D115" s="1"/>
      <c r="E115" s="1"/>
      <c r="F115" s="1"/>
      <c r="H115" s="1"/>
      <c r="I115" s="1"/>
      <c r="J115" s="1"/>
    </row>
    <row r="116" spans="1:10" x14ac:dyDescent="0.2">
      <c r="A116" s="1"/>
      <c r="C116" s="1"/>
      <c r="D116" s="1"/>
      <c r="E116" s="1"/>
      <c r="F116" s="1"/>
      <c r="H116" s="1"/>
      <c r="I116" s="1"/>
      <c r="J116" s="1"/>
    </row>
    <row r="117" spans="1:10" x14ac:dyDescent="0.2">
      <c r="A117" s="1"/>
      <c r="C117" s="1"/>
      <c r="D117" s="1"/>
      <c r="E117" s="1"/>
      <c r="F117" s="1"/>
      <c r="H117" s="1"/>
      <c r="I117" s="1"/>
      <c r="J117" s="1"/>
    </row>
    <row r="118" spans="1:10" x14ac:dyDescent="0.2">
      <c r="A118" s="1"/>
      <c r="C118" s="1"/>
      <c r="D118" s="1"/>
      <c r="E118" s="1"/>
      <c r="F118" s="1"/>
      <c r="H118" s="1"/>
      <c r="I118" s="1"/>
      <c r="J118" s="1"/>
    </row>
    <row r="119" spans="1:10" x14ac:dyDescent="0.2">
      <c r="A119" s="1"/>
      <c r="C119" s="1"/>
      <c r="D119" s="1"/>
      <c r="E119" s="1"/>
      <c r="F119" s="1"/>
      <c r="H119" s="1"/>
      <c r="I119" s="1"/>
      <c r="J119" s="1"/>
    </row>
    <row r="120" spans="1:10" x14ac:dyDescent="0.2">
      <c r="A120" s="1"/>
      <c r="C120" s="1"/>
      <c r="D120" s="1"/>
      <c r="E120" s="1"/>
      <c r="F120" s="1"/>
      <c r="H120" s="1"/>
      <c r="I120" s="1"/>
      <c r="J120" s="1"/>
    </row>
    <row r="121" spans="1:10" x14ac:dyDescent="0.2">
      <c r="A121" s="1"/>
      <c r="C121" s="1"/>
      <c r="D121" s="1"/>
      <c r="E121" s="1"/>
      <c r="F121" s="1"/>
      <c r="H121" s="1"/>
      <c r="I121" s="1"/>
      <c r="J121" s="1"/>
    </row>
    <row r="122" spans="1:10" x14ac:dyDescent="0.2">
      <c r="A122" s="1"/>
      <c r="C122" s="1"/>
      <c r="D122" s="1"/>
      <c r="E122" s="1"/>
      <c r="F122" s="1"/>
      <c r="H122" s="1"/>
      <c r="I122" s="1"/>
      <c r="J122" s="1"/>
    </row>
    <row r="123" spans="1:10" x14ac:dyDescent="0.2">
      <c r="A123" s="1"/>
      <c r="C123" s="1"/>
      <c r="D123" s="1"/>
      <c r="E123" s="1"/>
      <c r="F123" s="1"/>
      <c r="H123" s="1"/>
      <c r="I123" s="1"/>
      <c r="J123" s="1"/>
    </row>
    <row r="124" spans="1:10" x14ac:dyDescent="0.2">
      <c r="A124" s="1"/>
      <c r="C124" s="1"/>
      <c r="D124" s="1"/>
      <c r="E124" s="1"/>
      <c r="F124" s="1"/>
      <c r="H124" s="1"/>
      <c r="I124" s="1"/>
      <c r="J124" s="1"/>
    </row>
    <row r="125" spans="1:10" x14ac:dyDescent="0.2">
      <c r="A125" s="1"/>
      <c r="C125" s="1"/>
      <c r="D125" s="1"/>
      <c r="E125" s="1"/>
      <c r="F125" s="1"/>
      <c r="H125" s="1"/>
      <c r="I125" s="1"/>
      <c r="J125" s="1"/>
    </row>
    <row r="126" spans="1:10" x14ac:dyDescent="0.2">
      <c r="A126" s="1"/>
      <c r="C126" s="1"/>
      <c r="D126" s="1"/>
      <c r="E126" s="1"/>
      <c r="F126" s="1"/>
      <c r="H126" s="1"/>
      <c r="I126" s="1"/>
      <c r="J126" s="1"/>
    </row>
    <row r="127" spans="1:10" x14ac:dyDescent="0.2">
      <c r="A127" s="1"/>
      <c r="C127" s="1"/>
      <c r="D127" s="1"/>
      <c r="E127" s="1"/>
      <c r="F127" s="1"/>
      <c r="H127" s="1"/>
      <c r="I127" s="1"/>
      <c r="J127" s="1"/>
    </row>
    <row r="128" spans="1:10" x14ac:dyDescent="0.2">
      <c r="A128" s="1"/>
      <c r="C128" s="1"/>
      <c r="D128" s="1"/>
      <c r="E128" s="1"/>
      <c r="F128" s="1"/>
      <c r="H128" s="1"/>
      <c r="I128" s="1"/>
      <c r="J128" s="1"/>
    </row>
    <row r="129" spans="1:10" x14ac:dyDescent="0.2">
      <c r="A129" s="1"/>
      <c r="C129" s="1"/>
      <c r="D129" s="1"/>
      <c r="E129" s="1"/>
      <c r="F129" s="1"/>
      <c r="H129" s="1"/>
      <c r="I129" s="1"/>
      <c r="J129" s="1"/>
    </row>
    <row r="130" spans="1:10" x14ac:dyDescent="0.2">
      <c r="A130" s="1"/>
      <c r="C130" s="1"/>
      <c r="D130" s="1"/>
      <c r="E130" s="1"/>
      <c r="F130" s="1"/>
      <c r="H130" s="1"/>
      <c r="I130" s="1"/>
      <c r="J130" s="1"/>
    </row>
    <row r="131" spans="1:10" x14ac:dyDescent="0.2">
      <c r="A131" s="1"/>
      <c r="C131" s="1"/>
      <c r="D131" s="1"/>
      <c r="E131" s="1"/>
      <c r="F131" s="1"/>
      <c r="H131" s="1"/>
      <c r="I131" s="1"/>
      <c r="J131" s="1"/>
    </row>
    <row r="132" spans="1:10" x14ac:dyDescent="0.2">
      <c r="A132" s="1"/>
      <c r="C132" s="1"/>
      <c r="D132" s="1"/>
      <c r="E132" s="1"/>
      <c r="F132" s="1"/>
      <c r="H132" s="1"/>
      <c r="I132" s="1"/>
      <c r="J132" s="1"/>
    </row>
    <row r="133" spans="1:10" x14ac:dyDescent="0.2">
      <c r="A133" s="1"/>
      <c r="C133" s="1"/>
      <c r="D133" s="1"/>
      <c r="E133" s="1"/>
      <c r="F133" s="1"/>
      <c r="H133" s="1"/>
      <c r="I133" s="1"/>
      <c r="J133" s="1"/>
    </row>
    <row r="134" spans="1:10" x14ac:dyDescent="0.2">
      <c r="A134" s="1"/>
      <c r="C134" s="1"/>
      <c r="D134" s="1"/>
      <c r="E134" s="1"/>
      <c r="F134" s="1"/>
      <c r="H134" s="1"/>
      <c r="I134" s="1"/>
      <c r="J134" s="1"/>
    </row>
    <row r="135" spans="1:10" x14ac:dyDescent="0.2">
      <c r="A135" s="1"/>
      <c r="C135" s="1"/>
      <c r="D135" s="1"/>
      <c r="E135" s="1"/>
      <c r="F135" s="1"/>
      <c r="H135" s="1"/>
      <c r="I135" s="1"/>
      <c r="J135" s="1"/>
    </row>
    <row r="136" spans="1:10" x14ac:dyDescent="0.2">
      <c r="A136" s="1"/>
      <c r="C136" s="1"/>
      <c r="D136" s="1"/>
      <c r="E136" s="1"/>
      <c r="F136" s="1"/>
      <c r="H136" s="1"/>
      <c r="I136" s="1"/>
      <c r="J136" s="1"/>
    </row>
    <row r="137" spans="1:10" x14ac:dyDescent="0.2">
      <c r="A137" s="1"/>
      <c r="C137" s="1"/>
      <c r="D137" s="1"/>
      <c r="E137" s="1"/>
      <c r="F137" s="1"/>
      <c r="H137" s="1"/>
      <c r="I137" s="1"/>
      <c r="J137" s="1"/>
    </row>
    <row r="138" spans="1:10" x14ac:dyDescent="0.2">
      <c r="A138" s="1"/>
      <c r="C138" s="1"/>
      <c r="D138" s="1"/>
      <c r="E138" s="1"/>
      <c r="F138" s="1"/>
      <c r="H138" s="1"/>
      <c r="I138" s="1"/>
      <c r="J138" s="1"/>
    </row>
    <row r="139" spans="1:10" x14ac:dyDescent="0.2">
      <c r="A139" s="1"/>
      <c r="C139" s="1"/>
      <c r="D139" s="1"/>
      <c r="E139" s="1"/>
      <c r="F139" s="1"/>
      <c r="H139" s="1"/>
      <c r="I139" s="1"/>
      <c r="J139" s="1"/>
    </row>
    <row r="140" spans="1:10" x14ac:dyDescent="0.2">
      <c r="A140" s="1"/>
      <c r="C140" s="1"/>
      <c r="D140" s="1"/>
      <c r="E140" s="1"/>
      <c r="F140" s="1"/>
      <c r="H140" s="1"/>
      <c r="I140" s="1"/>
      <c r="J140" s="1"/>
    </row>
    <row r="141" spans="1:10" x14ac:dyDescent="0.2">
      <c r="A141" s="1"/>
      <c r="C141" s="1"/>
      <c r="D141" s="1"/>
      <c r="E141" s="1"/>
      <c r="F141" s="1"/>
      <c r="H141" s="1"/>
      <c r="I141" s="1"/>
      <c r="J141" s="1"/>
    </row>
    <row r="142" spans="1:10" x14ac:dyDescent="0.2">
      <c r="A142" s="1"/>
      <c r="C142" s="1"/>
      <c r="D142" s="1"/>
      <c r="E142" s="1"/>
      <c r="F142" s="1"/>
      <c r="H142" s="1"/>
      <c r="I142" s="1"/>
      <c r="J142" s="1"/>
    </row>
    <row r="143" spans="1:10" x14ac:dyDescent="0.2">
      <c r="A143" s="1"/>
      <c r="C143" s="1"/>
      <c r="D143" s="1"/>
      <c r="E143" s="1"/>
      <c r="F143" s="1"/>
      <c r="H143" s="1"/>
      <c r="I143" s="1"/>
      <c r="J143" s="1"/>
    </row>
    <row r="144" spans="1:10" x14ac:dyDescent="0.2">
      <c r="A144" s="1"/>
      <c r="C144" s="1"/>
      <c r="D144" s="1"/>
      <c r="E144" s="1"/>
      <c r="F144" s="1"/>
      <c r="H144" s="1"/>
      <c r="I144" s="1"/>
      <c r="J144" s="1"/>
    </row>
    <row r="145" spans="1:10" x14ac:dyDescent="0.2">
      <c r="A145" s="1"/>
      <c r="C145" s="1"/>
      <c r="D145" s="1"/>
      <c r="E145" s="1"/>
      <c r="F145" s="1"/>
      <c r="H145" s="1"/>
      <c r="I145" s="1"/>
      <c r="J145" s="1"/>
    </row>
    <row r="146" spans="1:10" x14ac:dyDescent="0.2">
      <c r="A146" s="1"/>
      <c r="C146" s="1"/>
      <c r="D146" s="1"/>
      <c r="E146" s="1"/>
      <c r="F146" s="1"/>
      <c r="H146" s="1"/>
      <c r="I146" s="1"/>
      <c r="J146" s="1"/>
    </row>
    <row r="147" spans="1:10" x14ac:dyDescent="0.2">
      <c r="A147" s="1"/>
      <c r="C147" s="1"/>
      <c r="D147" s="1"/>
      <c r="E147" s="1"/>
      <c r="F147" s="1"/>
      <c r="H147" s="1"/>
      <c r="I147" s="1"/>
      <c r="J147" s="1"/>
    </row>
    <row r="148" spans="1:10" x14ac:dyDescent="0.2">
      <c r="A148" s="1"/>
      <c r="C148" s="1"/>
      <c r="D148" s="1"/>
      <c r="E148" s="1"/>
      <c r="F148" s="1"/>
      <c r="H148" s="1"/>
      <c r="I148" s="1"/>
      <c r="J148" s="1"/>
    </row>
    <row r="149" spans="1:10" x14ac:dyDescent="0.2">
      <c r="A149" s="1"/>
      <c r="C149" s="1"/>
      <c r="D149" s="1"/>
      <c r="E149" s="1"/>
      <c r="F149" s="1"/>
      <c r="H149" s="1"/>
      <c r="I149" s="1"/>
      <c r="J149" s="1"/>
    </row>
    <row r="150" spans="1:10" x14ac:dyDescent="0.2">
      <c r="A150" s="1"/>
      <c r="C150" s="1"/>
      <c r="D150" s="1"/>
      <c r="E150" s="1"/>
      <c r="F150" s="1"/>
      <c r="H150" s="1"/>
      <c r="I150" s="1"/>
      <c r="J150" s="1"/>
    </row>
    <row r="151" spans="1:10" x14ac:dyDescent="0.2">
      <c r="A151" s="1"/>
      <c r="C151" s="1"/>
      <c r="D151" s="1"/>
      <c r="E151" s="1"/>
      <c r="F151" s="1"/>
      <c r="H151" s="1"/>
      <c r="I151" s="1"/>
      <c r="J151" s="1"/>
    </row>
    <row r="152" spans="1:10" x14ac:dyDescent="0.2">
      <c r="A152" s="1"/>
      <c r="C152" s="1"/>
      <c r="D152" s="1"/>
      <c r="E152" s="1"/>
      <c r="F152" s="1"/>
      <c r="H152" s="1"/>
      <c r="I152" s="1"/>
      <c r="J152" s="1"/>
    </row>
    <row r="153" spans="1:10" x14ac:dyDescent="0.2">
      <c r="A153" s="1"/>
      <c r="C153" s="1"/>
      <c r="D153" s="1"/>
      <c r="E153" s="1"/>
      <c r="F153" s="1"/>
      <c r="H153" s="1"/>
      <c r="I153" s="1"/>
      <c r="J153" s="1"/>
    </row>
    <row r="154" spans="1:10" x14ac:dyDescent="0.2">
      <c r="A154" s="1"/>
      <c r="C154" s="1"/>
      <c r="D154" s="1"/>
      <c r="E154" s="1"/>
      <c r="F154" s="1"/>
      <c r="H154" s="1"/>
      <c r="I154" s="1"/>
      <c r="J154" s="1"/>
    </row>
    <row r="155" spans="1:10" x14ac:dyDescent="0.2">
      <c r="A155" s="1"/>
      <c r="C155" s="1"/>
      <c r="D155" s="1"/>
      <c r="E155" s="1"/>
      <c r="F155" s="1"/>
      <c r="H155" s="1"/>
      <c r="I155" s="1"/>
      <c r="J155" s="1"/>
    </row>
    <row r="156" spans="1:10" x14ac:dyDescent="0.2">
      <c r="A156" s="1"/>
      <c r="C156" s="1"/>
      <c r="D156" s="1"/>
      <c r="E156" s="1"/>
      <c r="F156" s="1"/>
      <c r="H156" s="1"/>
      <c r="I156" s="1"/>
      <c r="J156" s="1"/>
    </row>
    <row r="157" spans="1:10" x14ac:dyDescent="0.2">
      <c r="A157" s="1"/>
      <c r="C157" s="1"/>
      <c r="D157" s="1"/>
      <c r="E157" s="1"/>
      <c r="F157" s="1"/>
      <c r="H157" s="1"/>
      <c r="I157" s="1"/>
      <c r="J157" s="1"/>
    </row>
    <row r="158" spans="1:10" x14ac:dyDescent="0.2">
      <c r="A158" s="1"/>
      <c r="C158" s="1"/>
      <c r="D158" s="1"/>
      <c r="E158" s="1"/>
      <c r="F158" s="1"/>
      <c r="H158" s="1"/>
      <c r="I158" s="1"/>
      <c r="J158" s="1"/>
    </row>
    <row r="159" spans="1:10" x14ac:dyDescent="0.2">
      <c r="A159" s="1"/>
      <c r="C159" s="1"/>
      <c r="D159" s="1"/>
      <c r="E159" s="1"/>
      <c r="F159" s="1"/>
      <c r="H159" s="1"/>
      <c r="I159" s="1"/>
      <c r="J159" s="1"/>
    </row>
    <row r="160" spans="1:10" x14ac:dyDescent="0.2">
      <c r="A160" s="1"/>
      <c r="C160" s="1"/>
      <c r="D160" s="1"/>
      <c r="E160" s="1"/>
      <c r="F160" s="1"/>
      <c r="H160" s="1"/>
      <c r="I160" s="1"/>
      <c r="J160" s="1"/>
    </row>
    <row r="161" spans="1:10" x14ac:dyDescent="0.2">
      <c r="A161" s="1"/>
      <c r="C161" s="1"/>
      <c r="D161" s="1"/>
      <c r="E161" s="1"/>
      <c r="F161" s="1"/>
      <c r="H161" s="1"/>
      <c r="I161" s="1"/>
      <c r="J161" s="1"/>
    </row>
    <row r="162" spans="1:10" x14ac:dyDescent="0.2">
      <c r="A162" s="1"/>
      <c r="C162" s="1"/>
      <c r="D162" s="1"/>
      <c r="E162" s="1"/>
      <c r="F162" s="1"/>
      <c r="H162" s="1"/>
      <c r="I162" s="1"/>
      <c r="J162" s="1"/>
    </row>
    <row r="163" spans="1:10" x14ac:dyDescent="0.2">
      <c r="A163" s="1"/>
      <c r="C163" s="1"/>
      <c r="D163" s="1"/>
      <c r="E163" s="1"/>
      <c r="F163" s="1"/>
      <c r="H163" s="1"/>
      <c r="I163" s="1"/>
      <c r="J163" s="1"/>
    </row>
    <row r="164" spans="1:10" x14ac:dyDescent="0.2">
      <c r="A164" s="1"/>
      <c r="C164" s="1"/>
      <c r="D164" s="1"/>
      <c r="E164" s="1"/>
      <c r="F164" s="1"/>
      <c r="H164" s="1"/>
      <c r="I164" s="1"/>
      <c r="J164" s="1"/>
    </row>
    <row r="165" spans="1:10" x14ac:dyDescent="0.2">
      <c r="A165" s="1"/>
      <c r="C165" s="1"/>
      <c r="D165" s="1"/>
      <c r="E165" s="1"/>
      <c r="F165" s="1"/>
      <c r="H165" s="1"/>
      <c r="I165" s="1"/>
      <c r="J165" s="1"/>
    </row>
    <row r="166" spans="1:10" x14ac:dyDescent="0.2">
      <c r="A166" s="1"/>
      <c r="C166" s="1"/>
      <c r="D166" s="1"/>
      <c r="E166" s="1"/>
      <c r="F166" s="1"/>
      <c r="H166" s="1"/>
      <c r="I166" s="1"/>
      <c r="J166" s="1"/>
    </row>
    <row r="167" spans="1:10" x14ac:dyDescent="0.2">
      <c r="A167" s="1"/>
      <c r="C167" s="1"/>
      <c r="D167" s="1"/>
      <c r="E167" s="1"/>
      <c r="F167" s="1"/>
      <c r="H167" s="1"/>
      <c r="I167" s="1"/>
      <c r="J167" s="1"/>
    </row>
    <row r="168" spans="1:10" x14ac:dyDescent="0.2">
      <c r="A168" s="1"/>
      <c r="C168" s="1"/>
      <c r="D168" s="1"/>
      <c r="E168" s="1"/>
      <c r="F168" s="1"/>
      <c r="H168" s="1"/>
      <c r="I168" s="1"/>
      <c r="J168" s="1"/>
    </row>
    <row r="169" spans="1:10" x14ac:dyDescent="0.2">
      <c r="A169" s="1"/>
      <c r="C169" s="1"/>
      <c r="D169" s="1"/>
      <c r="E169" s="1"/>
      <c r="F169" s="1"/>
      <c r="H169" s="1"/>
      <c r="I169" s="1"/>
      <c r="J169" s="1"/>
    </row>
    <row r="170" spans="1:10" x14ac:dyDescent="0.2">
      <c r="A170" s="1"/>
      <c r="C170" s="1"/>
      <c r="D170" s="1"/>
      <c r="E170" s="1"/>
      <c r="F170" s="1"/>
      <c r="H170" s="1"/>
      <c r="I170" s="1"/>
      <c r="J170" s="1"/>
    </row>
    <row r="171" spans="1:10" x14ac:dyDescent="0.2">
      <c r="A171" s="1"/>
      <c r="C171" s="1"/>
      <c r="D171" s="1"/>
      <c r="E171" s="1"/>
      <c r="F171" s="1"/>
      <c r="H171" s="1"/>
      <c r="I171" s="1"/>
      <c r="J171" s="1"/>
    </row>
    <row r="172" spans="1:10" x14ac:dyDescent="0.2">
      <c r="A172" s="1"/>
      <c r="C172" s="1"/>
      <c r="D172" s="1"/>
      <c r="E172" s="1"/>
      <c r="F172" s="1"/>
      <c r="H172" s="1"/>
      <c r="I172" s="1"/>
      <c r="J172" s="1"/>
    </row>
    <row r="173" spans="1:10" x14ac:dyDescent="0.2">
      <c r="A173" s="1"/>
      <c r="C173" s="1"/>
      <c r="D173" s="1"/>
      <c r="E173" s="1"/>
      <c r="F173" s="1"/>
      <c r="H173" s="1"/>
      <c r="I173" s="1"/>
      <c r="J173" s="1"/>
    </row>
    <row r="174" spans="1:10" x14ac:dyDescent="0.2">
      <c r="A174" s="1"/>
      <c r="C174" s="1"/>
      <c r="D174" s="1"/>
      <c r="E174" s="1"/>
      <c r="F174" s="1"/>
      <c r="H174" s="1"/>
      <c r="I174" s="1"/>
      <c r="J174" s="1"/>
    </row>
    <row r="175" spans="1:10" x14ac:dyDescent="0.2">
      <c r="A175" s="1"/>
      <c r="C175" s="1"/>
      <c r="D175" s="1"/>
      <c r="E175" s="1"/>
      <c r="F175" s="1"/>
      <c r="H175" s="1"/>
      <c r="I175" s="1"/>
      <c r="J175" s="1"/>
    </row>
    <row r="176" spans="1:10" x14ac:dyDescent="0.2">
      <c r="A176" s="1"/>
      <c r="C176" s="1"/>
      <c r="D176" s="1"/>
      <c r="E176" s="1"/>
      <c r="F176" s="1"/>
      <c r="H176" s="1"/>
      <c r="I176" s="1"/>
      <c r="J176" s="1"/>
    </row>
    <row r="177" spans="1:10" x14ac:dyDescent="0.2">
      <c r="A177" s="1"/>
      <c r="C177" s="1"/>
      <c r="D177" s="1"/>
      <c r="E177" s="1"/>
      <c r="F177" s="1"/>
      <c r="H177" s="1"/>
      <c r="I177" s="1"/>
      <c r="J177" s="1"/>
    </row>
    <row r="178" spans="1:10" x14ac:dyDescent="0.2">
      <c r="A178" s="1"/>
      <c r="C178" s="1"/>
      <c r="D178" s="1"/>
      <c r="E178" s="1"/>
      <c r="F178" s="1"/>
      <c r="H178" s="1"/>
      <c r="I178" s="1"/>
      <c r="J178" s="1"/>
    </row>
    <row r="179" spans="1:10" x14ac:dyDescent="0.2">
      <c r="A179" s="1"/>
      <c r="C179" s="1"/>
      <c r="D179" s="1"/>
      <c r="E179" s="1"/>
      <c r="F179" s="1"/>
      <c r="H179" s="1"/>
      <c r="I179" s="1"/>
      <c r="J179" s="1"/>
    </row>
    <row r="180" spans="1:10" x14ac:dyDescent="0.2">
      <c r="A180" s="1"/>
      <c r="C180" s="1"/>
      <c r="D180" s="1"/>
      <c r="E180" s="1"/>
      <c r="F180" s="1"/>
      <c r="H180" s="1"/>
      <c r="I180" s="1"/>
      <c r="J180" s="1"/>
    </row>
    <row r="181" spans="1:10" x14ac:dyDescent="0.2">
      <c r="A181" s="1"/>
      <c r="C181" s="1"/>
      <c r="D181" s="1"/>
      <c r="E181" s="1"/>
      <c r="F181" s="1"/>
      <c r="H181" s="1"/>
      <c r="I181" s="1"/>
      <c r="J181" s="1"/>
    </row>
    <row r="182" spans="1:10" x14ac:dyDescent="0.2">
      <c r="A182" s="1"/>
      <c r="C182" s="1"/>
      <c r="D182" s="1"/>
      <c r="E182" s="1"/>
      <c r="F182" s="1"/>
      <c r="H182" s="1"/>
      <c r="I182" s="1"/>
      <c r="J182" s="1"/>
    </row>
    <row r="183" spans="1:10" x14ac:dyDescent="0.2">
      <c r="A183" s="1"/>
      <c r="C183" s="1"/>
      <c r="D183" s="1"/>
      <c r="E183" s="1"/>
      <c r="F183" s="1"/>
      <c r="H183" s="1"/>
      <c r="I183" s="1"/>
      <c r="J183" s="1"/>
    </row>
    <row r="184" spans="1:10" x14ac:dyDescent="0.2">
      <c r="A184" s="1"/>
      <c r="C184" s="1"/>
      <c r="D184" s="1"/>
      <c r="E184" s="1"/>
      <c r="F184" s="1"/>
      <c r="H184" s="1"/>
      <c r="I184" s="1"/>
      <c r="J184" s="1"/>
    </row>
    <row r="185" spans="1:10" x14ac:dyDescent="0.2">
      <c r="A185" s="1"/>
      <c r="C185" s="1"/>
      <c r="D185" s="1"/>
      <c r="E185" s="1"/>
      <c r="F185" s="1"/>
      <c r="H185" s="1"/>
      <c r="I185" s="1"/>
      <c r="J185" s="1"/>
    </row>
    <row r="186" spans="1:10" x14ac:dyDescent="0.2">
      <c r="A186" s="1"/>
      <c r="C186" s="1"/>
      <c r="D186" s="1"/>
      <c r="E186" s="1"/>
      <c r="F186" s="1"/>
      <c r="H186" s="1"/>
      <c r="I186" s="1"/>
      <c r="J186" s="1"/>
    </row>
    <row r="187" spans="1:10" x14ac:dyDescent="0.2">
      <c r="A187" s="1"/>
      <c r="C187" s="1"/>
      <c r="D187" s="1"/>
      <c r="E187" s="1"/>
      <c r="F187" s="1"/>
      <c r="H187" s="1"/>
      <c r="I187" s="1"/>
      <c r="J187" s="1"/>
    </row>
    <row r="188" spans="1:10" x14ac:dyDescent="0.2">
      <c r="A188" s="1"/>
      <c r="C188" s="1"/>
      <c r="D188" s="1"/>
      <c r="E188" s="1"/>
      <c r="F188" s="1"/>
      <c r="H188" s="1"/>
      <c r="I188" s="1"/>
      <c r="J188" s="1"/>
    </row>
    <row r="189" spans="1:10" x14ac:dyDescent="0.2">
      <c r="A189" s="1"/>
      <c r="C189" s="1"/>
      <c r="D189" s="1"/>
      <c r="E189" s="1"/>
      <c r="F189" s="1"/>
      <c r="H189" s="1"/>
      <c r="I189" s="1"/>
      <c r="J189" s="1"/>
    </row>
    <row r="190" spans="1:10" x14ac:dyDescent="0.2">
      <c r="A190" s="1"/>
      <c r="C190" s="1"/>
      <c r="D190" s="1"/>
      <c r="E190" s="1"/>
      <c r="F190" s="1"/>
      <c r="H190" s="1"/>
      <c r="I190" s="1"/>
      <c r="J190" s="1"/>
    </row>
    <row r="191" spans="1:10" x14ac:dyDescent="0.2">
      <c r="A191" s="1"/>
      <c r="C191" s="1"/>
      <c r="D191" s="1"/>
      <c r="E191" s="1"/>
      <c r="F191" s="1"/>
      <c r="H191" s="1"/>
      <c r="I191" s="1"/>
      <c r="J191" s="1"/>
    </row>
    <row r="192" spans="1:10" x14ac:dyDescent="0.2">
      <c r="A192" s="1"/>
      <c r="C192" s="1"/>
      <c r="D192" s="1"/>
      <c r="E192" s="1"/>
      <c r="F192" s="1"/>
      <c r="H192" s="1"/>
      <c r="I192" s="1"/>
      <c r="J192" s="1"/>
    </row>
    <row r="193" spans="1:10" x14ac:dyDescent="0.2">
      <c r="A193" s="1"/>
      <c r="C193" s="1"/>
      <c r="D193" s="1"/>
      <c r="E193" s="1"/>
      <c r="F193" s="1"/>
      <c r="H193" s="1"/>
      <c r="I193" s="1"/>
      <c r="J193" s="1"/>
    </row>
    <row r="194" spans="1:10" x14ac:dyDescent="0.2">
      <c r="A194" s="1"/>
      <c r="C194" s="1"/>
      <c r="D194" s="1"/>
      <c r="E194" s="1"/>
      <c r="F194" s="1"/>
      <c r="H194" s="1"/>
      <c r="I194" s="1"/>
      <c r="J194" s="1"/>
    </row>
    <row r="195" spans="1:10" x14ac:dyDescent="0.2">
      <c r="A195" s="1"/>
      <c r="C195" s="1"/>
      <c r="D195" s="1"/>
      <c r="E195" s="1"/>
      <c r="F195" s="1"/>
      <c r="H195" s="1"/>
      <c r="I195" s="1"/>
      <c r="J195" s="1"/>
    </row>
    <row r="196" spans="1:10" x14ac:dyDescent="0.2">
      <c r="A196" s="1"/>
      <c r="C196" s="1"/>
      <c r="D196" s="1"/>
      <c r="E196" s="1"/>
      <c r="F196" s="1"/>
      <c r="H196" s="1"/>
      <c r="I196" s="1"/>
      <c r="J196" s="1"/>
    </row>
    <row r="197" spans="1:10" x14ac:dyDescent="0.2">
      <c r="A197" s="1"/>
      <c r="C197" s="1"/>
      <c r="D197" s="1"/>
      <c r="E197" s="1"/>
      <c r="F197" s="1"/>
      <c r="H197" s="1"/>
      <c r="I197" s="1"/>
      <c r="J197" s="1"/>
    </row>
    <row r="198" spans="1:10" x14ac:dyDescent="0.2">
      <c r="A198" s="1"/>
      <c r="C198" s="1"/>
      <c r="D198" s="1"/>
      <c r="E198" s="1"/>
      <c r="F198" s="1"/>
      <c r="H198" s="1"/>
      <c r="I198" s="1"/>
      <c r="J198" s="1"/>
    </row>
    <row r="199" spans="1:10" x14ac:dyDescent="0.2">
      <c r="A199" s="1"/>
      <c r="C199" s="1"/>
      <c r="D199" s="1"/>
      <c r="E199" s="1"/>
      <c r="F199" s="1"/>
      <c r="H199" s="1"/>
      <c r="I199" s="1"/>
      <c r="J199" s="1"/>
    </row>
    <row r="200" spans="1:10" x14ac:dyDescent="0.2">
      <c r="A200" s="1"/>
      <c r="C200" s="1"/>
      <c r="D200" s="1"/>
      <c r="E200" s="1"/>
      <c r="F200" s="1"/>
      <c r="H200" s="1"/>
      <c r="I200" s="1"/>
      <c r="J200" s="1"/>
    </row>
    <row r="201" spans="1:10" x14ac:dyDescent="0.2">
      <c r="A201" s="1"/>
      <c r="C201" s="1"/>
      <c r="D201" s="1"/>
      <c r="E201" s="1"/>
      <c r="F201" s="1"/>
      <c r="H201" s="1"/>
      <c r="I201" s="1"/>
      <c r="J201" s="1"/>
    </row>
    <row r="202" spans="1:10" x14ac:dyDescent="0.2">
      <c r="A202" s="1"/>
      <c r="C202" s="1"/>
      <c r="D202" s="1"/>
      <c r="E202" s="1"/>
      <c r="F202" s="1"/>
      <c r="H202" s="1"/>
      <c r="I202" s="1"/>
      <c r="J202" s="1"/>
    </row>
    <row r="203" spans="1:10" x14ac:dyDescent="0.2">
      <c r="A203" s="1"/>
      <c r="C203" s="1"/>
      <c r="D203" s="1"/>
      <c r="E203" s="1"/>
      <c r="F203" s="1"/>
      <c r="H203" s="1"/>
      <c r="I203" s="1"/>
      <c r="J203" s="1"/>
    </row>
    <row r="204" spans="1:10" x14ac:dyDescent="0.2">
      <c r="A204" s="1"/>
      <c r="C204" s="1"/>
      <c r="D204" s="1"/>
      <c r="E204" s="1"/>
      <c r="F204" s="1"/>
      <c r="H204" s="1"/>
      <c r="I204" s="1"/>
      <c r="J204" s="1"/>
    </row>
    <row r="205" spans="1:10" x14ac:dyDescent="0.2">
      <c r="A205" s="1"/>
      <c r="C205" s="1"/>
      <c r="D205" s="1"/>
      <c r="E205" s="1"/>
      <c r="F205" s="1"/>
      <c r="H205" s="1"/>
      <c r="I205" s="1"/>
      <c r="J205" s="1"/>
    </row>
    <row r="206" spans="1:10" x14ac:dyDescent="0.2">
      <c r="A206" s="1"/>
      <c r="C206" s="1"/>
      <c r="D206" s="1"/>
      <c r="E206" s="1"/>
      <c r="F206" s="1"/>
      <c r="H206" s="1"/>
      <c r="I206" s="1"/>
      <c r="J206" s="1"/>
    </row>
    <row r="207" spans="1:10" x14ac:dyDescent="0.2">
      <c r="A207" s="1"/>
      <c r="C207" s="1"/>
      <c r="D207" s="1"/>
      <c r="E207" s="1"/>
      <c r="F207" s="1"/>
      <c r="H207" s="1"/>
      <c r="I207" s="1"/>
      <c r="J207" s="1"/>
    </row>
    <row r="208" spans="1:10" x14ac:dyDescent="0.2">
      <c r="A208" s="1"/>
      <c r="C208" s="1"/>
      <c r="D208" s="1"/>
      <c r="E208" s="1"/>
      <c r="F208" s="1"/>
      <c r="H208" s="1"/>
      <c r="I208" s="1"/>
      <c r="J208" s="1"/>
    </row>
    <row r="209" spans="1:10" x14ac:dyDescent="0.2">
      <c r="A209" s="1"/>
      <c r="C209" s="1"/>
      <c r="D209" s="1"/>
      <c r="E209" s="1"/>
      <c r="F209" s="1"/>
      <c r="H209" s="1"/>
      <c r="I209" s="1"/>
      <c r="J209" s="1"/>
    </row>
    <row r="210" spans="1:10" x14ac:dyDescent="0.2">
      <c r="A210" s="1"/>
      <c r="C210" s="1"/>
      <c r="D210" s="1"/>
      <c r="E210" s="1"/>
      <c r="F210" s="1"/>
      <c r="H210" s="1"/>
      <c r="I210" s="1"/>
      <c r="J210" s="1"/>
    </row>
    <row r="211" spans="1:10" x14ac:dyDescent="0.2">
      <c r="A211" s="1"/>
      <c r="C211" s="1"/>
      <c r="D211" s="1"/>
      <c r="E211" s="1"/>
      <c r="F211" s="1"/>
      <c r="H211" s="1"/>
      <c r="I211" s="1"/>
      <c r="J211" s="1"/>
    </row>
    <row r="212" spans="1:10" x14ac:dyDescent="0.2">
      <c r="A212" s="1"/>
      <c r="C212" s="1"/>
      <c r="D212" s="1"/>
      <c r="E212" s="1"/>
      <c r="F212" s="1"/>
      <c r="H212" s="1"/>
      <c r="I212" s="1"/>
      <c r="J212" s="1"/>
    </row>
    <row r="213" spans="1:10" x14ac:dyDescent="0.2">
      <c r="A213" s="1"/>
      <c r="C213" s="1"/>
      <c r="D213" s="1"/>
      <c r="E213" s="1"/>
      <c r="F213" s="1"/>
      <c r="H213" s="1"/>
      <c r="I213" s="1"/>
      <c r="J213" s="1"/>
    </row>
    <row r="214" spans="1:10" x14ac:dyDescent="0.2">
      <c r="A214" s="1"/>
      <c r="C214" s="1"/>
      <c r="D214" s="1"/>
      <c r="E214" s="1"/>
      <c r="F214" s="1"/>
      <c r="H214" s="1"/>
      <c r="I214" s="1"/>
      <c r="J214" s="1"/>
    </row>
    <row r="215" spans="1:10" x14ac:dyDescent="0.2">
      <c r="A215" s="1"/>
      <c r="C215" s="1"/>
      <c r="D215" s="1"/>
      <c r="E215" s="1"/>
      <c r="F215" s="1"/>
      <c r="H215" s="1"/>
      <c r="I215" s="1"/>
      <c r="J215" s="1"/>
    </row>
    <row r="216" spans="1:10" x14ac:dyDescent="0.2">
      <c r="A216" s="1"/>
      <c r="C216" s="1"/>
      <c r="D216" s="1"/>
      <c r="E216" s="1"/>
      <c r="F216" s="1"/>
      <c r="H216" s="1"/>
      <c r="I216" s="1"/>
      <c r="J216" s="1"/>
    </row>
    <row r="217" spans="1:10" x14ac:dyDescent="0.2">
      <c r="A217" s="1"/>
      <c r="C217" s="1"/>
      <c r="D217" s="1"/>
      <c r="E217" s="1"/>
      <c r="F217" s="1"/>
      <c r="H217" s="1"/>
      <c r="I217" s="1"/>
      <c r="J217" s="1"/>
    </row>
    <row r="218" spans="1:10" x14ac:dyDescent="0.2">
      <c r="A218" s="1"/>
      <c r="C218" s="1"/>
      <c r="D218" s="1"/>
      <c r="E218" s="1"/>
      <c r="F218" s="1"/>
      <c r="H218" s="1"/>
      <c r="I218" s="1"/>
      <c r="J218" s="1"/>
    </row>
    <row r="219" spans="1:10" x14ac:dyDescent="0.2">
      <c r="A219" s="1"/>
      <c r="C219" s="1"/>
      <c r="D219" s="1"/>
      <c r="E219" s="1"/>
      <c r="F219" s="1"/>
      <c r="H219" s="1"/>
      <c r="I219" s="1"/>
      <c r="J219" s="1"/>
    </row>
    <row r="220" spans="1:10" x14ac:dyDescent="0.2">
      <c r="A220" s="1"/>
      <c r="C220" s="1"/>
      <c r="D220" s="1"/>
      <c r="E220" s="1"/>
      <c r="F220" s="1"/>
      <c r="H220" s="1"/>
      <c r="I220" s="1"/>
      <c r="J220" s="1"/>
    </row>
    <row r="221" spans="1:10" x14ac:dyDescent="0.2">
      <c r="A221" s="1"/>
      <c r="C221" s="1"/>
      <c r="D221" s="1"/>
      <c r="E221" s="1"/>
      <c r="F221" s="1"/>
      <c r="H221" s="1"/>
      <c r="I221" s="1"/>
      <c r="J221" s="1"/>
    </row>
    <row r="222" spans="1:10" x14ac:dyDescent="0.2">
      <c r="A222" s="1"/>
      <c r="C222" s="1"/>
      <c r="D222" s="1"/>
      <c r="E222" s="1"/>
      <c r="F222" s="1"/>
      <c r="H222" s="1"/>
      <c r="I222" s="1"/>
      <c r="J222" s="1"/>
    </row>
    <row r="223" spans="1:10" x14ac:dyDescent="0.2">
      <c r="A223" s="1"/>
      <c r="C223" s="1"/>
      <c r="D223" s="1"/>
      <c r="E223" s="1"/>
      <c r="F223" s="1"/>
      <c r="H223" s="1"/>
      <c r="I223" s="1"/>
      <c r="J223" s="1"/>
    </row>
    <row r="224" spans="1:10" x14ac:dyDescent="0.2">
      <c r="A224" s="1"/>
      <c r="C224" s="1"/>
      <c r="D224" s="1"/>
      <c r="E224" s="1"/>
      <c r="F224" s="1"/>
      <c r="H224" s="1"/>
      <c r="I224" s="1"/>
      <c r="J224" s="1"/>
    </row>
    <row r="225" spans="1:10" x14ac:dyDescent="0.2">
      <c r="A225" s="1"/>
      <c r="C225" s="1"/>
      <c r="D225" s="1"/>
      <c r="E225" s="1"/>
      <c r="F225" s="1"/>
      <c r="H225" s="1"/>
      <c r="I225" s="1"/>
      <c r="J225" s="1"/>
    </row>
    <row r="226" spans="1:10" x14ac:dyDescent="0.2">
      <c r="A226" s="1"/>
      <c r="C226" s="1"/>
      <c r="D226" s="1"/>
      <c r="E226" s="1"/>
      <c r="F226" s="1"/>
      <c r="H226" s="1"/>
      <c r="I226" s="1"/>
      <c r="J226" s="1"/>
    </row>
    <row r="227" spans="1:10" x14ac:dyDescent="0.2">
      <c r="A227" s="1"/>
      <c r="C227" s="1"/>
      <c r="D227" s="1"/>
      <c r="E227" s="1"/>
      <c r="F227" s="1"/>
      <c r="H227" s="1"/>
      <c r="I227" s="1"/>
      <c r="J227" s="1"/>
    </row>
    <row r="228" spans="1:10" x14ac:dyDescent="0.2">
      <c r="A228" s="1"/>
      <c r="C228" s="1"/>
      <c r="D228" s="1"/>
      <c r="E228" s="1"/>
      <c r="F228" s="1"/>
      <c r="H228" s="1"/>
      <c r="I228" s="1"/>
      <c r="J228" s="1"/>
    </row>
    <row r="229" spans="1:10" x14ac:dyDescent="0.2">
      <c r="A229" s="1"/>
      <c r="C229" s="1"/>
      <c r="D229" s="1"/>
      <c r="E229" s="1"/>
      <c r="F229" s="1"/>
      <c r="H229" s="1"/>
      <c r="I229" s="1"/>
      <c r="J229" s="1"/>
    </row>
    <row r="230" spans="1:10" x14ac:dyDescent="0.2">
      <c r="A230" s="1"/>
      <c r="C230" s="1"/>
      <c r="D230" s="1"/>
      <c r="E230" s="1"/>
      <c r="F230" s="1"/>
      <c r="H230" s="1"/>
      <c r="I230" s="1"/>
      <c r="J230" s="1"/>
    </row>
    <row r="231" spans="1:10" x14ac:dyDescent="0.2">
      <c r="A231" s="1"/>
      <c r="C231" s="1"/>
      <c r="D231" s="1"/>
      <c r="E231" s="1"/>
      <c r="F231" s="1"/>
      <c r="H231" s="1"/>
      <c r="I231" s="1"/>
      <c r="J231" s="1"/>
    </row>
    <row r="232" spans="1:10" x14ac:dyDescent="0.2">
      <c r="A232" s="1"/>
      <c r="C232" s="1"/>
      <c r="D232" s="1"/>
      <c r="E232" s="1"/>
      <c r="F232" s="1"/>
      <c r="H232" s="1"/>
      <c r="I232" s="1"/>
      <c r="J232" s="1"/>
    </row>
    <row r="233" spans="1:10" x14ac:dyDescent="0.2">
      <c r="A233" s="1"/>
      <c r="C233" s="1"/>
      <c r="D233" s="1"/>
      <c r="E233" s="1"/>
      <c r="F233" s="1"/>
      <c r="H233" s="1"/>
      <c r="I233" s="1"/>
      <c r="J233" s="1"/>
    </row>
    <row r="234" spans="1:10" x14ac:dyDescent="0.2">
      <c r="A234" s="1"/>
      <c r="C234" s="1"/>
      <c r="D234" s="1"/>
      <c r="E234" s="1"/>
      <c r="F234" s="1"/>
      <c r="H234" s="1"/>
      <c r="I234" s="1"/>
      <c r="J234" s="1"/>
    </row>
    <row r="235" spans="1:10" x14ac:dyDescent="0.2">
      <c r="A235" s="1"/>
      <c r="C235" s="1"/>
      <c r="D235" s="1"/>
      <c r="E235" s="1"/>
      <c r="F235" s="1"/>
      <c r="H235" s="1"/>
      <c r="I235" s="1"/>
      <c r="J235" s="1"/>
    </row>
    <row r="236" spans="1:10" x14ac:dyDescent="0.2">
      <c r="A236" s="1"/>
      <c r="C236" s="1"/>
      <c r="D236" s="1"/>
      <c r="E236" s="1"/>
      <c r="F236" s="1"/>
      <c r="H236" s="1"/>
      <c r="I236" s="1"/>
      <c r="J236" s="1"/>
    </row>
    <row r="237" spans="1:10" x14ac:dyDescent="0.2">
      <c r="A237" s="1"/>
      <c r="C237" s="1"/>
      <c r="D237" s="1"/>
      <c r="E237" s="1"/>
      <c r="F237" s="1"/>
      <c r="H237" s="1"/>
      <c r="I237" s="1"/>
      <c r="J237" s="1"/>
    </row>
    <row r="238" spans="1:10" x14ac:dyDescent="0.2">
      <c r="A238" s="1"/>
      <c r="C238" s="1"/>
      <c r="D238" s="1"/>
      <c r="E238" s="1"/>
      <c r="F238" s="1"/>
      <c r="H238" s="1"/>
      <c r="I238" s="1"/>
      <c r="J238" s="1"/>
    </row>
    <row r="239" spans="1:10" x14ac:dyDescent="0.2">
      <c r="A239" s="1"/>
      <c r="C239" s="1"/>
      <c r="D239" s="1"/>
      <c r="E239" s="1"/>
      <c r="F239" s="1"/>
      <c r="H239" s="1"/>
      <c r="I239" s="1"/>
      <c r="J239" s="1"/>
    </row>
    <row r="240" spans="1:10" x14ac:dyDescent="0.2">
      <c r="A240" s="1"/>
      <c r="C240" s="1"/>
      <c r="D240" s="1"/>
      <c r="E240" s="1"/>
      <c r="F240" s="1"/>
      <c r="H240" s="1"/>
      <c r="I240" s="1"/>
      <c r="J240" s="1"/>
    </row>
    <row r="241" spans="1:10" x14ac:dyDescent="0.2">
      <c r="A241" s="1"/>
      <c r="C241" s="1"/>
      <c r="D241" s="1"/>
      <c r="E241" s="1"/>
      <c r="F241" s="1"/>
      <c r="H241" s="1"/>
      <c r="I241" s="1"/>
      <c r="J241" s="1"/>
    </row>
    <row r="242" spans="1:10" x14ac:dyDescent="0.2">
      <c r="A242" s="1"/>
      <c r="C242" s="1"/>
      <c r="D242" s="1"/>
      <c r="E242" s="1"/>
      <c r="F242" s="1"/>
      <c r="H242" s="1"/>
      <c r="I242" s="1"/>
      <c r="J242" s="1"/>
    </row>
    <row r="243" spans="1:10" x14ac:dyDescent="0.2">
      <c r="A243" s="1"/>
      <c r="C243" s="1"/>
      <c r="D243" s="1"/>
      <c r="E243" s="1"/>
      <c r="F243" s="1"/>
      <c r="H243" s="1"/>
      <c r="I243" s="1"/>
      <c r="J243" s="1"/>
    </row>
    <row r="244" spans="1:10" x14ac:dyDescent="0.2">
      <c r="A244" s="1"/>
      <c r="C244" s="1"/>
      <c r="D244" s="1"/>
      <c r="E244" s="1"/>
      <c r="F244" s="1"/>
      <c r="H244" s="1"/>
      <c r="I244" s="1"/>
      <c r="J244" s="1"/>
    </row>
    <row r="245" spans="1:10" x14ac:dyDescent="0.2">
      <c r="A245" s="1"/>
      <c r="C245" s="1"/>
      <c r="D245" s="1"/>
      <c r="E245" s="1"/>
      <c r="F245" s="1"/>
      <c r="H245" s="1"/>
      <c r="I245" s="1"/>
      <c r="J245" s="1"/>
    </row>
    <row r="246" spans="1:10" x14ac:dyDescent="0.2">
      <c r="A246" s="1"/>
      <c r="C246" s="1"/>
      <c r="D246" s="1"/>
      <c r="E246" s="1"/>
      <c r="F246" s="1"/>
      <c r="H246" s="1"/>
      <c r="I246" s="1"/>
      <c r="J246" s="1"/>
    </row>
    <row r="247" spans="1:10" x14ac:dyDescent="0.2">
      <c r="A247" s="1"/>
      <c r="C247" s="1"/>
      <c r="D247" s="1"/>
      <c r="E247" s="1"/>
      <c r="F247" s="1"/>
      <c r="H247" s="1"/>
      <c r="I247" s="1"/>
      <c r="J247" s="1"/>
    </row>
    <row r="248" spans="1:10" x14ac:dyDescent="0.2">
      <c r="A248" s="1"/>
      <c r="C248" s="1"/>
      <c r="D248" s="1"/>
      <c r="E248" s="1"/>
      <c r="F248" s="1"/>
      <c r="H248" s="1"/>
      <c r="I248" s="1"/>
      <c r="J248" s="1"/>
    </row>
    <row r="249" spans="1:10" x14ac:dyDescent="0.2">
      <c r="A249" s="1"/>
      <c r="C249" s="1"/>
      <c r="D249" s="1"/>
      <c r="E249" s="1"/>
      <c r="F249" s="1"/>
      <c r="H249" s="1"/>
      <c r="I249" s="1"/>
      <c r="J249" s="1"/>
    </row>
    <row r="250" spans="1:10" x14ac:dyDescent="0.2">
      <c r="A250" s="1"/>
      <c r="C250" s="1"/>
      <c r="D250" s="1"/>
      <c r="E250" s="1"/>
      <c r="F250" s="1"/>
      <c r="H250" s="1"/>
      <c r="I250" s="1"/>
      <c r="J250" s="1"/>
    </row>
    <row r="251" spans="1:10" x14ac:dyDescent="0.2">
      <c r="A251" s="1"/>
      <c r="C251" s="1"/>
      <c r="D251" s="1"/>
      <c r="E251" s="1"/>
      <c r="F251" s="1"/>
      <c r="H251" s="1"/>
      <c r="I251" s="1"/>
      <c r="J251" s="1"/>
    </row>
    <row r="252" spans="1:10" x14ac:dyDescent="0.2">
      <c r="A252" s="1"/>
      <c r="C252" s="1"/>
      <c r="D252" s="1"/>
      <c r="E252" s="1"/>
      <c r="F252" s="1"/>
      <c r="H252" s="1"/>
      <c r="I252" s="1"/>
      <c r="J252" s="1"/>
    </row>
    <row r="253" spans="1:10" x14ac:dyDescent="0.2">
      <c r="A253" s="1"/>
      <c r="C253" s="1"/>
      <c r="D253" s="1"/>
      <c r="E253" s="1"/>
      <c r="F253" s="1"/>
      <c r="H253" s="1"/>
      <c r="I253" s="1"/>
      <c r="J253" s="1"/>
    </row>
    <row r="254" spans="1:10" x14ac:dyDescent="0.2">
      <c r="A254" s="1"/>
      <c r="C254" s="1"/>
      <c r="D254" s="1"/>
      <c r="E254" s="1"/>
      <c r="F254" s="1"/>
      <c r="H254" s="1"/>
      <c r="I254" s="1"/>
      <c r="J254" s="1"/>
    </row>
    <row r="255" spans="1:10" x14ac:dyDescent="0.2">
      <c r="A255" s="1"/>
      <c r="C255" s="1"/>
      <c r="D255" s="1"/>
      <c r="E255" s="1"/>
      <c r="F255" s="1"/>
      <c r="H255" s="1"/>
      <c r="I255" s="1"/>
      <c r="J255" s="1"/>
    </row>
    <row r="256" spans="1:10" x14ac:dyDescent="0.2">
      <c r="A256" s="1"/>
      <c r="C256" s="1"/>
      <c r="D256" s="1"/>
      <c r="E256" s="1"/>
      <c r="F256" s="1"/>
      <c r="H256" s="1"/>
      <c r="I256" s="1"/>
      <c r="J256" s="1"/>
    </row>
    <row r="257" spans="1:10" x14ac:dyDescent="0.2">
      <c r="A257" s="1"/>
      <c r="C257" s="1"/>
      <c r="D257" s="1"/>
      <c r="E257" s="1"/>
      <c r="F257" s="1"/>
      <c r="H257" s="1"/>
      <c r="I257" s="1"/>
      <c r="J257" s="1"/>
    </row>
    <row r="258" spans="1:10" x14ac:dyDescent="0.2">
      <c r="A258" s="1"/>
      <c r="C258" s="1"/>
      <c r="D258" s="1"/>
      <c r="E258" s="1"/>
      <c r="F258" s="1"/>
      <c r="H258" s="1"/>
      <c r="I258" s="1"/>
      <c r="J258" s="1"/>
    </row>
    <row r="259" spans="1:10" x14ac:dyDescent="0.2">
      <c r="A259" s="1"/>
      <c r="C259" s="1"/>
      <c r="D259" s="1"/>
      <c r="E259" s="1"/>
      <c r="F259" s="1"/>
      <c r="H259" s="1"/>
      <c r="I259" s="1"/>
      <c r="J259" s="1"/>
    </row>
    <row r="260" spans="1:10" x14ac:dyDescent="0.2">
      <c r="A260" s="1"/>
      <c r="C260" s="1"/>
      <c r="D260" s="1"/>
      <c r="E260" s="1"/>
      <c r="F260" s="1"/>
      <c r="H260" s="1"/>
      <c r="I260" s="1"/>
      <c r="J260" s="1"/>
    </row>
    <row r="261" spans="1:10" x14ac:dyDescent="0.2">
      <c r="A261" s="1"/>
      <c r="C261" s="1"/>
      <c r="D261" s="1"/>
      <c r="E261" s="1"/>
      <c r="F261" s="1"/>
      <c r="H261" s="1"/>
      <c r="I261" s="1"/>
      <c r="J261" s="1"/>
    </row>
    <row r="262" spans="1:10" x14ac:dyDescent="0.2">
      <c r="A262" s="1"/>
      <c r="C262" s="1"/>
      <c r="D262" s="1"/>
      <c r="E262" s="1"/>
      <c r="F262" s="1"/>
      <c r="H262" s="1"/>
      <c r="I262" s="1"/>
      <c r="J262" s="1"/>
    </row>
    <row r="263" spans="1:10" x14ac:dyDescent="0.2">
      <c r="A263" s="1"/>
      <c r="C263" s="1"/>
      <c r="D263" s="1"/>
      <c r="E263" s="1"/>
      <c r="F263" s="1"/>
      <c r="H263" s="1"/>
      <c r="I263" s="1"/>
      <c r="J263" s="1"/>
    </row>
    <row r="264" spans="1:10" x14ac:dyDescent="0.2">
      <c r="A264" s="1"/>
      <c r="C264" s="1"/>
      <c r="D264" s="1"/>
      <c r="E264" s="1"/>
      <c r="F264" s="1"/>
      <c r="H264" s="1"/>
      <c r="I264" s="1"/>
      <c r="J264" s="1"/>
    </row>
    <row r="265" spans="1:10" x14ac:dyDescent="0.2">
      <c r="A265" s="1"/>
      <c r="C265" s="1"/>
      <c r="D265" s="1"/>
      <c r="E265" s="1"/>
      <c r="F265" s="1"/>
      <c r="H265" s="1"/>
      <c r="I265" s="1"/>
      <c r="J265" s="1"/>
    </row>
    <row r="266" spans="1:10" x14ac:dyDescent="0.2">
      <c r="A266" s="1"/>
      <c r="C266" s="1"/>
      <c r="D266" s="1"/>
      <c r="E266" s="1"/>
      <c r="F266" s="1"/>
      <c r="H266" s="1"/>
      <c r="I266" s="1"/>
      <c r="J266" s="1"/>
    </row>
    <row r="267" spans="1:10" x14ac:dyDescent="0.2">
      <c r="A267" s="1"/>
      <c r="C267" s="1"/>
      <c r="D267" s="1"/>
      <c r="E267" s="1"/>
      <c r="F267" s="1"/>
      <c r="H267" s="1"/>
      <c r="I267" s="1"/>
      <c r="J267" s="1"/>
    </row>
    <row r="268" spans="1:10" x14ac:dyDescent="0.2">
      <c r="A268" s="1"/>
      <c r="C268" s="1"/>
      <c r="D268" s="1"/>
      <c r="E268" s="1"/>
      <c r="F268" s="1"/>
      <c r="H268" s="1"/>
      <c r="I268" s="1"/>
      <c r="J268" s="1"/>
    </row>
    <row r="269" spans="1:10" x14ac:dyDescent="0.2">
      <c r="A269" s="1"/>
      <c r="C269" s="1"/>
      <c r="D269" s="1"/>
      <c r="E269" s="1"/>
      <c r="F269" s="1"/>
      <c r="H269" s="1"/>
      <c r="I269" s="1"/>
      <c r="J269" s="1"/>
    </row>
    <row r="270" spans="1:10" x14ac:dyDescent="0.2">
      <c r="A270" s="1"/>
      <c r="C270" s="1"/>
      <c r="D270" s="1"/>
      <c r="E270" s="1"/>
      <c r="F270" s="1"/>
      <c r="H270" s="1"/>
      <c r="I270" s="1"/>
      <c r="J270" s="1"/>
    </row>
    <row r="271" spans="1:10" x14ac:dyDescent="0.2">
      <c r="A271" s="1"/>
      <c r="C271" s="1"/>
      <c r="D271" s="1"/>
      <c r="E271" s="1"/>
      <c r="F271" s="1"/>
      <c r="H271" s="1"/>
      <c r="I271" s="1"/>
      <c r="J271" s="1"/>
    </row>
    <row r="272" spans="1:10" x14ac:dyDescent="0.2">
      <c r="A272" s="1"/>
      <c r="C272" s="1"/>
      <c r="D272" s="1"/>
      <c r="E272" s="1"/>
      <c r="F272" s="1"/>
      <c r="H272" s="1"/>
      <c r="I272" s="1"/>
      <c r="J272" s="1"/>
    </row>
    <row r="273" spans="1:10" x14ac:dyDescent="0.2">
      <c r="A273" s="1"/>
      <c r="C273" s="1"/>
      <c r="D273" s="1"/>
      <c r="E273" s="1"/>
      <c r="F273" s="1"/>
      <c r="H273" s="1"/>
      <c r="I273" s="1"/>
      <c r="J273" s="1"/>
    </row>
    <row r="274" spans="1:10" x14ac:dyDescent="0.2">
      <c r="A274" s="1"/>
      <c r="C274" s="1"/>
      <c r="D274" s="1"/>
      <c r="E274" s="1"/>
      <c r="F274" s="1"/>
      <c r="H274" s="1"/>
      <c r="I274" s="1"/>
      <c r="J274" s="1"/>
    </row>
    <row r="275" spans="1:10" x14ac:dyDescent="0.2">
      <c r="A275" s="1"/>
      <c r="C275" s="1"/>
      <c r="D275" s="1"/>
      <c r="E275" s="1"/>
      <c r="F275" s="1"/>
      <c r="H275" s="1"/>
      <c r="I275" s="1"/>
      <c r="J275" s="1"/>
    </row>
    <row r="276" spans="1:10" x14ac:dyDescent="0.2">
      <c r="A276" s="1"/>
      <c r="C276" s="1"/>
      <c r="D276" s="1"/>
      <c r="E276" s="1"/>
      <c r="F276" s="1"/>
      <c r="H276" s="1"/>
      <c r="I276" s="1"/>
      <c r="J276" s="1"/>
    </row>
    <row r="277" spans="1:10" x14ac:dyDescent="0.2">
      <c r="A277" s="1"/>
      <c r="C277" s="1"/>
      <c r="D277" s="1"/>
      <c r="E277" s="1"/>
      <c r="F277" s="1"/>
      <c r="H277" s="1"/>
      <c r="I277" s="1"/>
      <c r="J277" s="1"/>
    </row>
    <row r="278" spans="1:10" x14ac:dyDescent="0.2">
      <c r="A278" s="1"/>
      <c r="C278" s="1"/>
      <c r="D278" s="1"/>
      <c r="E278" s="1"/>
      <c r="F278" s="1"/>
      <c r="H278" s="1"/>
      <c r="I278" s="1"/>
      <c r="J278" s="1"/>
    </row>
    <row r="279" spans="1:10" x14ac:dyDescent="0.2">
      <c r="A279" s="1"/>
      <c r="C279" s="1"/>
      <c r="D279" s="1"/>
      <c r="E279" s="1"/>
      <c r="F279" s="1"/>
      <c r="H279" s="1"/>
      <c r="I279" s="1"/>
      <c r="J279" s="1"/>
    </row>
    <row r="280" spans="1:10" x14ac:dyDescent="0.2">
      <c r="A280" s="1"/>
      <c r="C280" s="1"/>
      <c r="D280" s="1"/>
      <c r="E280" s="1"/>
      <c r="F280" s="1"/>
      <c r="H280" s="1"/>
      <c r="I280" s="1"/>
      <c r="J280" s="1"/>
    </row>
    <row r="281" spans="1:10" x14ac:dyDescent="0.2">
      <c r="A281" s="1"/>
      <c r="C281" s="1"/>
      <c r="D281" s="1"/>
      <c r="E281" s="1"/>
      <c r="F281" s="1"/>
      <c r="H281" s="1"/>
      <c r="I281" s="1"/>
      <c r="J281" s="1"/>
    </row>
    <row r="282" spans="1:10" x14ac:dyDescent="0.2">
      <c r="A282" s="1"/>
      <c r="C282" s="1"/>
      <c r="D282" s="1"/>
      <c r="E282" s="1"/>
      <c r="F282" s="1"/>
      <c r="H282" s="1"/>
      <c r="I282" s="1"/>
      <c r="J282" s="1"/>
    </row>
    <row r="283" spans="1:10" x14ac:dyDescent="0.2">
      <c r="A283" s="1"/>
      <c r="C283" s="1"/>
      <c r="D283" s="1"/>
      <c r="E283" s="1"/>
      <c r="F283" s="1"/>
      <c r="H283" s="1"/>
      <c r="I283" s="1"/>
      <c r="J283" s="1"/>
    </row>
    <row r="284" spans="1:10" x14ac:dyDescent="0.2">
      <c r="A284" s="1"/>
      <c r="C284" s="1"/>
      <c r="D284" s="1"/>
      <c r="E284" s="1"/>
      <c r="F284" s="1"/>
      <c r="H284" s="1"/>
      <c r="I284" s="1"/>
      <c r="J284" s="1"/>
    </row>
    <row r="285" spans="1:10" x14ac:dyDescent="0.2">
      <c r="A285" s="1"/>
      <c r="C285" s="1"/>
      <c r="D285" s="1"/>
      <c r="E285" s="1"/>
      <c r="F285" s="1"/>
      <c r="H285" s="1"/>
      <c r="I285" s="1"/>
      <c r="J285" s="1"/>
    </row>
    <row r="286" spans="1:10" x14ac:dyDescent="0.2">
      <c r="A286" s="1"/>
      <c r="C286" s="1"/>
      <c r="D286" s="1"/>
      <c r="E286" s="1"/>
      <c r="F286" s="1"/>
      <c r="H286" s="1"/>
      <c r="I286" s="1"/>
      <c r="J286" s="1"/>
    </row>
    <row r="287" spans="1:10" x14ac:dyDescent="0.2">
      <c r="A287" s="1"/>
      <c r="C287" s="1"/>
      <c r="D287" s="1"/>
      <c r="E287" s="1"/>
      <c r="F287" s="1"/>
      <c r="H287" s="1"/>
      <c r="I287" s="1"/>
      <c r="J287" s="1"/>
    </row>
    <row r="288" spans="1:10" x14ac:dyDescent="0.2">
      <c r="A288" s="1"/>
      <c r="C288" s="1"/>
      <c r="D288" s="1"/>
      <c r="E288" s="1"/>
      <c r="F288" s="1"/>
      <c r="H288" s="1"/>
      <c r="I288" s="1"/>
      <c r="J288" s="1"/>
    </row>
    <row r="289" spans="1:10" x14ac:dyDescent="0.2">
      <c r="A289" s="1"/>
      <c r="C289" s="1"/>
      <c r="D289" s="1"/>
      <c r="E289" s="1"/>
      <c r="F289" s="1"/>
      <c r="H289" s="1"/>
      <c r="I289" s="1"/>
      <c r="J289" s="1"/>
    </row>
    <row r="290" spans="1:10" x14ac:dyDescent="0.2">
      <c r="A290" s="1"/>
      <c r="C290" s="1"/>
      <c r="D290" s="1"/>
      <c r="E290" s="1"/>
      <c r="F290" s="1"/>
      <c r="H290" s="1"/>
      <c r="I290" s="1"/>
      <c r="J290" s="1"/>
    </row>
    <row r="291" spans="1:10" x14ac:dyDescent="0.2">
      <c r="A291" s="1"/>
      <c r="C291" s="1"/>
      <c r="D291" s="1"/>
      <c r="E291" s="1"/>
      <c r="F291" s="1"/>
      <c r="H291" s="1"/>
      <c r="I291" s="1"/>
      <c r="J291" s="1"/>
    </row>
    <row r="292" spans="1:10" x14ac:dyDescent="0.2">
      <c r="A292" s="1"/>
      <c r="C292" s="1"/>
      <c r="D292" s="1"/>
      <c r="E292" s="1"/>
      <c r="F292" s="1"/>
      <c r="H292" s="1"/>
      <c r="I292" s="1"/>
      <c r="J292" s="1"/>
    </row>
    <row r="293" spans="1:10" x14ac:dyDescent="0.2">
      <c r="A293" s="1"/>
      <c r="C293" s="1"/>
      <c r="D293" s="1"/>
      <c r="E293" s="1"/>
      <c r="F293" s="1"/>
      <c r="H293" s="1"/>
      <c r="I293" s="1"/>
      <c r="J293" s="1"/>
    </row>
    <row r="294" spans="1:10" x14ac:dyDescent="0.2">
      <c r="A294" s="1"/>
      <c r="C294" s="1"/>
      <c r="D294" s="1"/>
      <c r="E294" s="1"/>
      <c r="F294" s="1"/>
      <c r="H294" s="1"/>
      <c r="I294" s="1"/>
      <c r="J294" s="1"/>
    </row>
    <row r="295" spans="1:10" x14ac:dyDescent="0.2">
      <c r="A295" s="1"/>
      <c r="C295" s="1"/>
      <c r="D295" s="1"/>
      <c r="E295" s="1"/>
      <c r="F295" s="1"/>
      <c r="H295" s="1"/>
      <c r="I295" s="1"/>
      <c r="J295" s="1"/>
    </row>
    <row r="296" spans="1:10" x14ac:dyDescent="0.2">
      <c r="A296" s="1"/>
      <c r="C296" s="1"/>
      <c r="D296" s="1"/>
      <c r="E296" s="1"/>
      <c r="F296" s="1"/>
      <c r="H296" s="1"/>
      <c r="I296" s="1"/>
      <c r="J296" s="1"/>
    </row>
    <row r="297" spans="1:10" x14ac:dyDescent="0.2">
      <c r="A297" s="1"/>
      <c r="C297" s="1"/>
      <c r="D297" s="1"/>
      <c r="E297" s="1"/>
      <c r="F297" s="1"/>
      <c r="H297" s="1"/>
      <c r="I297" s="1"/>
      <c r="J297" s="1"/>
    </row>
    <row r="298" spans="1:10" x14ac:dyDescent="0.2">
      <c r="A298" s="1"/>
      <c r="C298" s="1"/>
      <c r="D298" s="1"/>
      <c r="E298" s="1"/>
      <c r="F298" s="1"/>
      <c r="H298" s="1"/>
      <c r="I298" s="1"/>
      <c r="J298" s="1"/>
    </row>
    <row r="299" spans="1:10" x14ac:dyDescent="0.2">
      <c r="A299" s="1"/>
      <c r="C299" s="1"/>
      <c r="D299" s="1"/>
      <c r="E299" s="1"/>
      <c r="F299" s="1"/>
      <c r="H299" s="1"/>
      <c r="I299" s="1"/>
      <c r="J299" s="1"/>
    </row>
    <row r="300" spans="1:10" x14ac:dyDescent="0.2">
      <c r="A300" s="1"/>
      <c r="C300" s="1"/>
      <c r="D300" s="1"/>
      <c r="E300" s="1"/>
      <c r="F300" s="1"/>
      <c r="H300" s="1"/>
      <c r="I300" s="1"/>
      <c r="J300" s="1"/>
    </row>
    <row r="301" spans="1:10" x14ac:dyDescent="0.2">
      <c r="A301" s="1"/>
      <c r="C301" s="1"/>
      <c r="D301" s="1"/>
      <c r="E301" s="1"/>
      <c r="F301" s="1"/>
      <c r="H301" s="1"/>
      <c r="I301" s="1"/>
      <c r="J301" s="1"/>
    </row>
    <row r="302" spans="1:10" x14ac:dyDescent="0.2">
      <c r="A302" s="1"/>
      <c r="C302" s="1"/>
      <c r="D302" s="1"/>
      <c r="E302" s="1"/>
      <c r="F302" s="1"/>
      <c r="H302" s="1"/>
      <c r="I302" s="1"/>
      <c r="J302" s="1"/>
    </row>
    <row r="303" spans="1:10" x14ac:dyDescent="0.2">
      <c r="A303" s="1"/>
      <c r="C303" s="1"/>
      <c r="D303" s="1"/>
      <c r="E303" s="1"/>
      <c r="F303" s="1"/>
      <c r="H303" s="1"/>
      <c r="I303" s="1"/>
      <c r="J303" s="1"/>
    </row>
    <row r="304" spans="1:10" x14ac:dyDescent="0.2">
      <c r="A304" s="1"/>
      <c r="C304" s="1"/>
      <c r="D304" s="1"/>
      <c r="E304" s="1"/>
      <c r="F304" s="1"/>
      <c r="H304" s="1"/>
      <c r="I304" s="1"/>
      <c r="J304" s="1"/>
    </row>
    <row r="305" spans="1:10" x14ac:dyDescent="0.2">
      <c r="A305" s="1"/>
      <c r="C305" s="1"/>
      <c r="D305" s="1"/>
      <c r="E305" s="1"/>
      <c r="F305" s="1"/>
      <c r="H305" s="1"/>
      <c r="I305" s="1"/>
      <c r="J305" s="1"/>
    </row>
    <row r="306" spans="1:10" x14ac:dyDescent="0.2">
      <c r="A306" s="1"/>
      <c r="C306" s="1"/>
      <c r="D306" s="1"/>
      <c r="E306" s="1"/>
      <c r="F306" s="1"/>
      <c r="H306" s="1"/>
      <c r="I306" s="1"/>
      <c r="J306" s="1"/>
    </row>
    <row r="307" spans="1:10" x14ac:dyDescent="0.2">
      <c r="A307" s="1"/>
      <c r="C307" s="1"/>
      <c r="D307" s="1"/>
      <c r="E307" s="1"/>
      <c r="F307" s="1"/>
      <c r="H307" s="1"/>
      <c r="I307" s="1"/>
      <c r="J307" s="1"/>
    </row>
    <row r="308" spans="1:10" x14ac:dyDescent="0.2">
      <c r="A308" s="1"/>
      <c r="C308" s="1"/>
      <c r="D308" s="1"/>
      <c r="E308" s="1"/>
      <c r="F308" s="1"/>
      <c r="H308" s="1"/>
      <c r="I308" s="1"/>
      <c r="J308" s="1"/>
    </row>
    <row r="309" spans="1:10" x14ac:dyDescent="0.2">
      <c r="A309" s="1"/>
      <c r="C309" s="1"/>
      <c r="D309" s="1"/>
      <c r="E309" s="1"/>
      <c r="F309" s="1"/>
      <c r="H309" s="1"/>
      <c r="I309" s="1"/>
      <c r="J309" s="1"/>
    </row>
    <row r="310" spans="1:10" x14ac:dyDescent="0.2">
      <c r="A310" s="1"/>
      <c r="C310" s="1"/>
      <c r="D310" s="1"/>
      <c r="E310" s="1"/>
      <c r="F310" s="1"/>
      <c r="H310" s="1"/>
      <c r="I310" s="1"/>
      <c r="J310" s="1"/>
    </row>
    <row r="311" spans="1:10" x14ac:dyDescent="0.2">
      <c r="A311" s="1"/>
      <c r="C311" s="1"/>
      <c r="D311" s="1"/>
      <c r="E311" s="1"/>
      <c r="F311" s="1"/>
      <c r="H311" s="1"/>
      <c r="I311" s="1"/>
      <c r="J311" s="1"/>
    </row>
    <row r="312" spans="1:10" x14ac:dyDescent="0.2">
      <c r="A312" s="1"/>
      <c r="C312" s="1"/>
      <c r="D312" s="1"/>
      <c r="E312" s="1"/>
      <c r="F312" s="1"/>
      <c r="H312" s="1"/>
      <c r="I312" s="1"/>
      <c r="J312" s="1"/>
    </row>
    <row r="313" spans="1:10" x14ac:dyDescent="0.2">
      <c r="A313" s="1"/>
      <c r="C313" s="1"/>
      <c r="D313" s="1"/>
      <c r="E313" s="1"/>
      <c r="F313" s="1"/>
      <c r="H313" s="1"/>
      <c r="I313" s="1"/>
      <c r="J313" s="1"/>
    </row>
    <row r="314" spans="1:10" x14ac:dyDescent="0.2">
      <c r="A314" s="1"/>
      <c r="C314" s="1"/>
      <c r="D314" s="1"/>
      <c r="E314" s="1"/>
      <c r="F314" s="1"/>
      <c r="H314" s="1"/>
      <c r="I314" s="1"/>
      <c r="J314" s="1"/>
    </row>
    <row r="315" spans="1:10" x14ac:dyDescent="0.2">
      <c r="A315" s="1"/>
      <c r="C315" s="1"/>
      <c r="D315" s="1"/>
      <c r="E315" s="1"/>
      <c r="F315" s="1"/>
      <c r="H315" s="1"/>
      <c r="I315" s="1"/>
      <c r="J315" s="1"/>
    </row>
    <row r="316" spans="1:10" x14ac:dyDescent="0.2">
      <c r="A316" s="1"/>
      <c r="C316" s="1"/>
      <c r="D316" s="1"/>
      <c r="E316" s="1"/>
      <c r="F316" s="1"/>
      <c r="H316" s="1"/>
      <c r="I316" s="1"/>
      <c r="J316" s="1"/>
    </row>
    <row r="317" spans="1:10" x14ac:dyDescent="0.2">
      <c r="A317" s="1"/>
      <c r="C317" s="1"/>
      <c r="D317" s="1"/>
      <c r="E317" s="1"/>
      <c r="F317" s="1"/>
      <c r="H317" s="1"/>
      <c r="I317" s="1"/>
      <c r="J317" s="1"/>
    </row>
    <row r="318" spans="1:10" x14ac:dyDescent="0.2">
      <c r="A318" s="1"/>
      <c r="C318" s="1"/>
      <c r="D318" s="1"/>
      <c r="E318" s="1"/>
      <c r="F318" s="1"/>
      <c r="H318" s="1"/>
      <c r="I318" s="1"/>
      <c r="J318" s="1"/>
    </row>
    <row r="319" spans="1:10" x14ac:dyDescent="0.2">
      <c r="A319" s="1"/>
      <c r="C319" s="1"/>
      <c r="D319" s="1"/>
      <c r="E319" s="1"/>
      <c r="F319" s="1"/>
      <c r="H319" s="1"/>
      <c r="I319" s="1"/>
      <c r="J319" s="1"/>
    </row>
    <row r="320" spans="1:10" x14ac:dyDescent="0.2">
      <c r="A320" s="1"/>
      <c r="C320" s="1"/>
      <c r="D320" s="1"/>
      <c r="E320" s="1"/>
      <c r="F320" s="1"/>
      <c r="H320" s="1"/>
      <c r="I320" s="1"/>
      <c r="J320" s="1"/>
    </row>
    <row r="321" spans="1:10" x14ac:dyDescent="0.2">
      <c r="A321" s="1"/>
      <c r="C321" s="1"/>
      <c r="D321" s="1"/>
      <c r="E321" s="1"/>
      <c r="F321" s="1"/>
      <c r="H321" s="1"/>
      <c r="I321" s="1"/>
      <c r="J321" s="1"/>
    </row>
    <row r="322" spans="1:10" x14ac:dyDescent="0.2">
      <c r="A322" s="1"/>
      <c r="C322" s="1"/>
      <c r="D322" s="1"/>
      <c r="E322" s="1"/>
      <c r="F322" s="1"/>
      <c r="H322" s="1"/>
      <c r="I322" s="1"/>
      <c r="J322" s="1"/>
    </row>
    <row r="323" spans="1:10" x14ac:dyDescent="0.2">
      <c r="A323" s="1"/>
      <c r="C323" s="1"/>
      <c r="D323" s="1"/>
      <c r="E323" s="1"/>
      <c r="F323" s="1"/>
      <c r="H323" s="1"/>
      <c r="I323" s="1"/>
      <c r="J323" s="1"/>
    </row>
    <row r="324" spans="1:10" x14ac:dyDescent="0.2">
      <c r="A324" s="1"/>
      <c r="C324" s="1"/>
      <c r="D324" s="1"/>
      <c r="E324" s="1"/>
      <c r="F324" s="1"/>
      <c r="H324" s="1"/>
      <c r="I324" s="1"/>
      <c r="J324" s="1"/>
    </row>
    <row r="325" spans="1:10" x14ac:dyDescent="0.2">
      <c r="A325" s="1"/>
      <c r="C325" s="1"/>
      <c r="D325" s="1"/>
      <c r="E325" s="1"/>
      <c r="F325" s="1"/>
      <c r="H325" s="1"/>
      <c r="I325" s="1"/>
      <c r="J325" s="1"/>
    </row>
    <row r="326" spans="1:10" x14ac:dyDescent="0.2">
      <c r="A326" s="1"/>
      <c r="C326" s="1"/>
      <c r="D326" s="1"/>
      <c r="E326" s="1"/>
      <c r="F326" s="1"/>
      <c r="H326" s="1"/>
      <c r="I326" s="1"/>
      <c r="J326" s="1"/>
    </row>
    <row r="327" spans="1:10" x14ac:dyDescent="0.2">
      <c r="A327" s="1"/>
      <c r="C327" s="1"/>
      <c r="D327" s="1"/>
      <c r="E327" s="1"/>
      <c r="F327" s="1"/>
      <c r="H327" s="1"/>
      <c r="I327" s="1"/>
      <c r="J327" s="1"/>
    </row>
    <row r="328" spans="1:10" x14ac:dyDescent="0.2">
      <c r="A328" s="1"/>
      <c r="C328" s="1"/>
      <c r="D328" s="1"/>
      <c r="E328" s="1"/>
      <c r="F328" s="1"/>
      <c r="H328" s="1"/>
      <c r="I328" s="1"/>
      <c r="J328" s="1"/>
    </row>
    <row r="329" spans="1:10" x14ac:dyDescent="0.2">
      <c r="A329" s="1"/>
      <c r="C329" s="1"/>
      <c r="D329" s="1"/>
      <c r="E329" s="1"/>
      <c r="F329" s="1"/>
      <c r="H329" s="1"/>
      <c r="I329" s="1"/>
      <c r="J329" s="1"/>
    </row>
    <row r="330" spans="1:10" x14ac:dyDescent="0.2">
      <c r="A330" s="1"/>
      <c r="C330" s="1"/>
      <c r="D330" s="1"/>
      <c r="E330" s="1"/>
      <c r="F330" s="1"/>
      <c r="H330" s="1"/>
      <c r="I330" s="1"/>
      <c r="J330" s="1"/>
    </row>
    <row r="331" spans="1:10" x14ac:dyDescent="0.2">
      <c r="A331" s="1"/>
      <c r="C331" s="1"/>
      <c r="D331" s="1"/>
      <c r="E331" s="1"/>
      <c r="F331" s="1"/>
      <c r="H331" s="1"/>
      <c r="I331" s="1"/>
      <c r="J331" s="1"/>
    </row>
    <row r="332" spans="1:10" x14ac:dyDescent="0.2">
      <c r="A332" s="1"/>
      <c r="C332" s="1"/>
      <c r="D332" s="1"/>
      <c r="E332" s="1"/>
      <c r="F332" s="1"/>
      <c r="H332" s="1"/>
      <c r="I332" s="1"/>
      <c r="J332" s="1"/>
    </row>
    <row r="333" spans="1:10" x14ac:dyDescent="0.2">
      <c r="A333" s="1"/>
      <c r="C333" s="1"/>
      <c r="D333" s="1"/>
      <c r="E333" s="1"/>
      <c r="F333" s="1"/>
      <c r="H333" s="1"/>
      <c r="I333" s="1"/>
      <c r="J333" s="1"/>
    </row>
    <row r="334" spans="1:10" x14ac:dyDescent="0.2">
      <c r="A334" s="1"/>
      <c r="C334" s="1"/>
      <c r="D334" s="1"/>
      <c r="E334" s="1"/>
      <c r="F334" s="1"/>
      <c r="H334" s="1"/>
      <c r="I334" s="1"/>
      <c r="J334" s="1"/>
    </row>
    <row r="335" spans="1:10" x14ac:dyDescent="0.2">
      <c r="A335" s="1"/>
      <c r="C335" s="1"/>
      <c r="D335" s="1"/>
      <c r="E335" s="1"/>
      <c r="F335" s="1"/>
      <c r="H335" s="1"/>
      <c r="I335" s="1"/>
      <c r="J335" s="1"/>
    </row>
    <row r="336" spans="1:10" x14ac:dyDescent="0.2">
      <c r="A336" s="1"/>
      <c r="C336" s="1"/>
      <c r="D336" s="1"/>
      <c r="E336" s="1"/>
      <c r="F336" s="1"/>
      <c r="H336" s="1"/>
      <c r="I336" s="1"/>
      <c r="J336" s="1"/>
    </row>
    <row r="337" spans="1:10" x14ac:dyDescent="0.2">
      <c r="A337" s="1"/>
      <c r="C337" s="1"/>
      <c r="D337" s="1"/>
      <c r="E337" s="1"/>
      <c r="F337" s="1"/>
      <c r="H337" s="1"/>
      <c r="I337" s="1"/>
      <c r="J337" s="1"/>
    </row>
    <row r="338" spans="1:10" x14ac:dyDescent="0.2">
      <c r="A338" s="1"/>
      <c r="C338" s="1"/>
      <c r="D338" s="1"/>
      <c r="E338" s="1"/>
      <c r="F338" s="1"/>
      <c r="H338" s="1"/>
      <c r="I338" s="1"/>
      <c r="J338" s="1"/>
    </row>
    <row r="339" spans="1:10" x14ac:dyDescent="0.2">
      <c r="A339" s="1"/>
      <c r="C339" s="1"/>
      <c r="D339" s="1"/>
      <c r="E339" s="1"/>
      <c r="F339" s="1"/>
      <c r="H339" s="1"/>
      <c r="I339" s="1"/>
      <c r="J339" s="1"/>
    </row>
    <row r="340" spans="1:10" x14ac:dyDescent="0.2">
      <c r="A340" s="1"/>
      <c r="C340" s="1"/>
      <c r="D340" s="1"/>
      <c r="E340" s="1"/>
      <c r="F340" s="1"/>
      <c r="H340" s="1"/>
      <c r="I340" s="1"/>
      <c r="J340" s="1"/>
    </row>
    <row r="341" spans="1:10" x14ac:dyDescent="0.2">
      <c r="A341" s="1"/>
      <c r="C341" s="1"/>
      <c r="D341" s="1"/>
      <c r="E341" s="1"/>
      <c r="F341" s="1"/>
      <c r="H341" s="1"/>
      <c r="I341" s="1"/>
      <c r="J341" s="1"/>
    </row>
    <row r="342" spans="1:10" x14ac:dyDescent="0.2">
      <c r="A342" s="1"/>
      <c r="C342" s="1"/>
      <c r="D342" s="1"/>
      <c r="E342" s="1"/>
      <c r="F342" s="1"/>
      <c r="H342" s="1"/>
      <c r="I342" s="1"/>
      <c r="J342" s="1"/>
    </row>
    <row r="343" spans="1:10" x14ac:dyDescent="0.2">
      <c r="A343" s="1"/>
      <c r="C343" s="1"/>
      <c r="D343" s="1"/>
      <c r="E343" s="1"/>
      <c r="F343" s="1"/>
      <c r="H343" s="1"/>
      <c r="I343" s="1"/>
      <c r="J343" s="1"/>
    </row>
    <row r="344" spans="1:10" x14ac:dyDescent="0.2">
      <c r="A344" s="1"/>
      <c r="C344" s="1"/>
      <c r="D344" s="1"/>
      <c r="E344" s="1"/>
      <c r="F344" s="1"/>
      <c r="H344" s="1"/>
      <c r="I344" s="1"/>
      <c r="J344" s="1"/>
    </row>
    <row r="345" spans="1:10" x14ac:dyDescent="0.2">
      <c r="A345" s="1"/>
      <c r="C345" s="1"/>
      <c r="D345" s="1"/>
      <c r="E345" s="1"/>
      <c r="F345" s="1"/>
      <c r="H345" s="1"/>
      <c r="I345" s="1"/>
      <c r="J345" s="1"/>
    </row>
    <row r="346" spans="1:10" x14ac:dyDescent="0.2">
      <c r="A346" s="1"/>
      <c r="C346" s="1"/>
      <c r="D346" s="1"/>
      <c r="E346" s="1"/>
      <c r="F346" s="1"/>
      <c r="H346" s="1"/>
      <c r="I346" s="1"/>
      <c r="J346" s="1"/>
    </row>
    <row r="347" spans="1:10" x14ac:dyDescent="0.2">
      <c r="A347" s="1"/>
      <c r="C347" s="1"/>
      <c r="D347" s="1"/>
      <c r="E347" s="1"/>
      <c r="F347" s="1"/>
      <c r="H347" s="1"/>
      <c r="I347" s="1"/>
      <c r="J347" s="1"/>
    </row>
    <row r="348" spans="1:10" x14ac:dyDescent="0.2">
      <c r="A348" s="1"/>
      <c r="C348" s="1"/>
      <c r="D348" s="1"/>
      <c r="E348" s="1"/>
      <c r="F348" s="1"/>
      <c r="H348" s="1"/>
      <c r="I348" s="1"/>
      <c r="J348" s="1"/>
    </row>
    <row r="349" spans="1:10" x14ac:dyDescent="0.2">
      <c r="A349" s="1"/>
      <c r="C349" s="1"/>
      <c r="D349" s="1"/>
      <c r="E349" s="1"/>
      <c r="F349" s="1"/>
      <c r="H349" s="1"/>
      <c r="I349" s="1"/>
      <c r="J349" s="1"/>
    </row>
    <row r="350" spans="1:10" x14ac:dyDescent="0.2">
      <c r="A350" s="1"/>
      <c r="C350" s="1"/>
      <c r="D350" s="1"/>
      <c r="E350" s="1"/>
      <c r="F350" s="1"/>
      <c r="H350" s="1"/>
      <c r="I350" s="1"/>
      <c r="J350" s="1"/>
    </row>
    <row r="351" spans="1:10" x14ac:dyDescent="0.2">
      <c r="A351" s="1"/>
      <c r="C351" s="1"/>
      <c r="D351" s="1"/>
      <c r="E351" s="1"/>
      <c r="F351" s="1"/>
      <c r="H351" s="1"/>
      <c r="I351" s="1"/>
      <c r="J351" s="1"/>
    </row>
    <row r="352" spans="1:10" x14ac:dyDescent="0.2">
      <c r="A352" s="1"/>
      <c r="C352" s="1"/>
      <c r="D352" s="1"/>
      <c r="E352" s="1"/>
      <c r="F352" s="1"/>
      <c r="H352" s="1"/>
      <c r="I352" s="1"/>
      <c r="J352" s="1"/>
    </row>
    <row r="353" spans="1:10" x14ac:dyDescent="0.2">
      <c r="A353" s="1"/>
      <c r="C353" s="1"/>
      <c r="D353" s="1"/>
      <c r="E353" s="1"/>
      <c r="F353" s="1"/>
      <c r="H353" s="1"/>
      <c r="I353" s="1"/>
      <c r="J353" s="1"/>
    </row>
    <row r="354" spans="1:10" x14ac:dyDescent="0.2">
      <c r="A354" s="1"/>
      <c r="C354" s="1"/>
      <c r="D354" s="1"/>
      <c r="E354" s="1"/>
      <c r="F354" s="1"/>
      <c r="H354" s="1"/>
      <c r="I354" s="1"/>
      <c r="J354" s="1"/>
    </row>
    <row r="355" spans="1:10" x14ac:dyDescent="0.2">
      <c r="A355" s="1"/>
      <c r="C355" s="1"/>
      <c r="D355" s="1"/>
      <c r="E355" s="1"/>
      <c r="F355" s="1"/>
      <c r="H355" s="1"/>
      <c r="I355" s="1"/>
      <c r="J355" s="1"/>
    </row>
    <row r="356" spans="1:10" x14ac:dyDescent="0.2">
      <c r="A356" s="1"/>
      <c r="C356" s="1"/>
      <c r="D356" s="1"/>
      <c r="E356" s="1"/>
      <c r="F356" s="1"/>
      <c r="H356" s="1"/>
      <c r="I356" s="1"/>
      <c r="J356" s="1"/>
    </row>
    <row r="357" spans="1:10" x14ac:dyDescent="0.2">
      <c r="A357" s="1"/>
      <c r="C357" s="1"/>
      <c r="D357" s="1"/>
      <c r="E357" s="1"/>
      <c r="F357" s="1"/>
      <c r="H357" s="1"/>
      <c r="I357" s="1"/>
      <c r="J357" s="1"/>
    </row>
    <row r="358" spans="1:10" x14ac:dyDescent="0.2">
      <c r="A358" s="1"/>
      <c r="C358" s="1"/>
      <c r="D358" s="1"/>
      <c r="E358" s="1"/>
      <c r="F358" s="1"/>
      <c r="H358" s="1"/>
      <c r="I358" s="1"/>
      <c r="J358" s="1"/>
    </row>
    <row r="359" spans="1:10" x14ac:dyDescent="0.2">
      <c r="A359" s="1"/>
      <c r="C359" s="1"/>
      <c r="D359" s="1"/>
      <c r="E359" s="1"/>
      <c r="F359" s="1"/>
      <c r="H359" s="1"/>
      <c r="I359" s="1"/>
      <c r="J359" s="1"/>
    </row>
    <row r="360" spans="1:10" x14ac:dyDescent="0.2">
      <c r="A360" s="1"/>
      <c r="C360" s="1"/>
      <c r="D360" s="1"/>
      <c r="E360" s="1"/>
      <c r="F360" s="1"/>
      <c r="H360" s="1"/>
      <c r="I360" s="1"/>
      <c r="J360" s="1"/>
    </row>
    <row r="361" spans="1:10" x14ac:dyDescent="0.2">
      <c r="A361" s="1"/>
      <c r="C361" s="1"/>
      <c r="D361" s="1"/>
      <c r="E361" s="1"/>
      <c r="F361" s="1"/>
      <c r="H361" s="1"/>
      <c r="I361" s="1"/>
      <c r="J361" s="1"/>
    </row>
    <row r="362" spans="1:10" x14ac:dyDescent="0.2">
      <c r="A362" s="1"/>
      <c r="C362" s="1"/>
      <c r="D362" s="1"/>
      <c r="E362" s="1"/>
      <c r="F362" s="1"/>
      <c r="H362" s="1"/>
      <c r="I362" s="1"/>
      <c r="J362" s="1"/>
    </row>
    <row r="363" spans="1:10" x14ac:dyDescent="0.2">
      <c r="A363" s="1"/>
      <c r="C363" s="1"/>
      <c r="D363" s="1"/>
      <c r="E363" s="1"/>
      <c r="F363" s="1"/>
      <c r="H363" s="1"/>
      <c r="I363" s="1"/>
      <c r="J363" s="1"/>
    </row>
    <row r="364" spans="1:10" x14ac:dyDescent="0.2">
      <c r="A364" s="1"/>
      <c r="C364" s="1"/>
      <c r="D364" s="1"/>
      <c r="E364" s="1"/>
      <c r="F364" s="1"/>
      <c r="H364" s="1"/>
      <c r="I364" s="1"/>
      <c r="J364" s="1"/>
    </row>
    <row r="365" spans="1:10" x14ac:dyDescent="0.2">
      <c r="A365" s="1"/>
      <c r="C365" s="1"/>
      <c r="D365" s="1"/>
      <c r="E365" s="1"/>
      <c r="F365" s="1"/>
      <c r="H365" s="1"/>
      <c r="I365" s="1"/>
      <c r="J365" s="1"/>
    </row>
    <row r="366" spans="1:10" x14ac:dyDescent="0.2">
      <c r="A366" s="1"/>
      <c r="C366" s="1"/>
      <c r="D366" s="1"/>
      <c r="E366" s="1"/>
      <c r="F366" s="1"/>
      <c r="H366" s="1"/>
      <c r="I366" s="1"/>
      <c r="J366" s="1"/>
    </row>
    <row r="367" spans="1:10" x14ac:dyDescent="0.2">
      <c r="A367" s="1"/>
      <c r="C367" s="1"/>
      <c r="D367" s="1"/>
      <c r="E367" s="1"/>
      <c r="F367" s="1"/>
      <c r="H367" s="1"/>
      <c r="I367" s="1"/>
      <c r="J367" s="1"/>
    </row>
    <row r="368" spans="1:10" x14ac:dyDescent="0.2">
      <c r="A368" s="1"/>
      <c r="C368" s="1"/>
      <c r="D368" s="1"/>
      <c r="E368" s="1"/>
      <c r="F368" s="1"/>
      <c r="H368" s="1"/>
      <c r="I368" s="1"/>
      <c r="J368" s="1"/>
    </row>
    <row r="369" spans="1:10" x14ac:dyDescent="0.2">
      <c r="A369" s="1"/>
      <c r="C369" s="1"/>
      <c r="D369" s="1"/>
      <c r="E369" s="1"/>
      <c r="F369" s="1"/>
      <c r="H369" s="1"/>
      <c r="I369" s="1"/>
      <c r="J369" s="1"/>
    </row>
    <row r="370" spans="1:10" x14ac:dyDescent="0.2">
      <c r="A370" s="1"/>
      <c r="C370" s="1"/>
      <c r="D370" s="1"/>
      <c r="E370" s="1"/>
      <c r="F370" s="1"/>
      <c r="H370" s="1"/>
      <c r="I370" s="1"/>
      <c r="J370" s="1"/>
    </row>
    <row r="371" spans="1:10" x14ac:dyDescent="0.2">
      <c r="A371" s="1"/>
      <c r="C371" s="1"/>
      <c r="D371" s="1"/>
      <c r="E371" s="1"/>
      <c r="F371" s="1"/>
      <c r="H371" s="1"/>
      <c r="I371" s="1"/>
      <c r="J371" s="1"/>
    </row>
    <row r="372" spans="1:10" x14ac:dyDescent="0.2">
      <c r="A372" s="1"/>
      <c r="C372" s="1"/>
      <c r="D372" s="1"/>
      <c r="E372" s="1"/>
      <c r="F372" s="1"/>
      <c r="H372" s="1"/>
      <c r="I372" s="1"/>
      <c r="J372" s="1"/>
    </row>
    <row r="373" spans="1:10" x14ac:dyDescent="0.2">
      <c r="A373" s="1"/>
      <c r="C373" s="1"/>
      <c r="D373" s="1"/>
      <c r="E373" s="1"/>
      <c r="F373" s="1"/>
      <c r="H373" s="1"/>
      <c r="I373" s="1"/>
      <c r="J373" s="1"/>
    </row>
    <row r="374" spans="1:10" x14ac:dyDescent="0.2">
      <c r="A374" s="1"/>
      <c r="C374" s="1"/>
      <c r="D374" s="1"/>
      <c r="E374" s="1"/>
      <c r="F374" s="1"/>
      <c r="H374" s="1"/>
      <c r="I374" s="1"/>
      <c r="J374" s="1"/>
    </row>
    <row r="375" spans="1:10" x14ac:dyDescent="0.2">
      <c r="A375" s="1"/>
      <c r="C375" s="1"/>
      <c r="D375" s="1"/>
      <c r="E375" s="1"/>
      <c r="F375" s="1"/>
      <c r="H375" s="1"/>
      <c r="I375" s="1"/>
      <c r="J375" s="1"/>
    </row>
    <row r="376" spans="1:10" x14ac:dyDescent="0.2">
      <c r="A376" s="1"/>
      <c r="C376" s="1"/>
      <c r="D376" s="1"/>
      <c r="E376" s="1"/>
      <c r="F376" s="1"/>
      <c r="H376" s="1"/>
      <c r="I376" s="1"/>
      <c r="J376" s="1"/>
    </row>
    <row r="377" spans="1:10" x14ac:dyDescent="0.2">
      <c r="A377" s="1"/>
      <c r="C377" s="1"/>
      <c r="D377" s="1"/>
      <c r="E377" s="1"/>
      <c r="F377" s="1"/>
      <c r="H377" s="1"/>
      <c r="I377" s="1"/>
      <c r="J377" s="1"/>
    </row>
    <row r="378" spans="1:10" x14ac:dyDescent="0.2">
      <c r="A378" s="1"/>
      <c r="C378" s="1"/>
      <c r="D378" s="1"/>
      <c r="E378" s="1"/>
      <c r="F378" s="1"/>
      <c r="H378" s="1"/>
      <c r="I378" s="1"/>
      <c r="J378" s="1"/>
    </row>
    <row r="379" spans="1:10" x14ac:dyDescent="0.2">
      <c r="A379" s="1"/>
      <c r="C379" s="1"/>
      <c r="D379" s="1"/>
      <c r="E379" s="1"/>
      <c r="F379" s="1"/>
      <c r="H379" s="1"/>
      <c r="I379" s="1"/>
      <c r="J379" s="1"/>
    </row>
    <row r="380" spans="1:10" x14ac:dyDescent="0.2">
      <c r="A380" s="1"/>
      <c r="C380" s="1"/>
      <c r="D380" s="1"/>
      <c r="E380" s="1"/>
      <c r="F380" s="1"/>
      <c r="H380" s="1"/>
      <c r="I380" s="1"/>
      <c r="J380" s="1"/>
    </row>
    <row r="381" spans="1:10" x14ac:dyDescent="0.2">
      <c r="A381" s="1"/>
      <c r="C381" s="1"/>
      <c r="D381" s="1"/>
      <c r="E381" s="1"/>
      <c r="F381" s="1"/>
      <c r="H381" s="1"/>
      <c r="I381" s="1"/>
      <c r="J381" s="1"/>
    </row>
    <row r="382" spans="1:10" x14ac:dyDescent="0.2">
      <c r="A382" s="1"/>
      <c r="C382" s="1"/>
      <c r="D382" s="1"/>
      <c r="E382" s="1"/>
      <c r="F382" s="1"/>
      <c r="H382" s="1"/>
      <c r="I382" s="1"/>
      <c r="J382" s="1"/>
    </row>
    <row r="383" spans="1:10" x14ac:dyDescent="0.2">
      <c r="A383" s="1"/>
      <c r="C383" s="1"/>
      <c r="D383" s="1"/>
      <c r="E383" s="1"/>
      <c r="F383" s="1"/>
      <c r="H383" s="1"/>
      <c r="I383" s="1"/>
      <c r="J383" s="1"/>
    </row>
    <row r="384" spans="1:10" x14ac:dyDescent="0.2">
      <c r="A384" s="1"/>
      <c r="C384" s="1"/>
      <c r="D384" s="1"/>
      <c r="E384" s="1"/>
      <c r="F384" s="1"/>
      <c r="H384" s="1"/>
      <c r="I384" s="1"/>
      <c r="J384" s="1"/>
    </row>
    <row r="385" spans="1:10" x14ac:dyDescent="0.2">
      <c r="A385" s="1"/>
      <c r="C385" s="1"/>
      <c r="D385" s="1"/>
      <c r="E385" s="1"/>
      <c r="F385" s="1"/>
      <c r="H385" s="1"/>
      <c r="I385" s="1"/>
      <c r="J385" s="1"/>
    </row>
    <row r="386" spans="1:10" x14ac:dyDescent="0.2">
      <c r="A386" s="1"/>
      <c r="C386" s="1"/>
      <c r="D386" s="1"/>
      <c r="E386" s="1"/>
      <c r="F386" s="1"/>
      <c r="H386" s="1"/>
      <c r="I386" s="1"/>
      <c r="J386" s="1"/>
    </row>
    <row r="387" spans="1:10" x14ac:dyDescent="0.2">
      <c r="A387" s="1"/>
      <c r="C387" s="1"/>
      <c r="D387" s="1"/>
      <c r="E387" s="1"/>
      <c r="F387" s="1"/>
      <c r="H387" s="1"/>
      <c r="I387" s="1"/>
      <c r="J387" s="1"/>
    </row>
    <row r="388" spans="1:10" x14ac:dyDescent="0.2">
      <c r="A388" s="1"/>
      <c r="C388" s="1"/>
      <c r="D388" s="1"/>
      <c r="E388" s="1"/>
      <c r="F388" s="1"/>
      <c r="H388" s="1"/>
      <c r="I388" s="1"/>
      <c r="J388" s="1"/>
    </row>
    <row r="389" spans="1:10" x14ac:dyDescent="0.2">
      <c r="A389" s="1"/>
      <c r="C389" s="1"/>
      <c r="D389" s="1"/>
      <c r="E389" s="1"/>
      <c r="F389" s="1"/>
      <c r="H389" s="1"/>
      <c r="I389" s="1"/>
      <c r="J389" s="1"/>
    </row>
    <row r="390" spans="1:10" x14ac:dyDescent="0.2">
      <c r="A390" s="1"/>
      <c r="C390" s="1"/>
      <c r="D390" s="1"/>
      <c r="E390" s="1"/>
      <c r="F390" s="1"/>
      <c r="H390" s="1"/>
      <c r="I390" s="1"/>
      <c r="J390" s="1"/>
    </row>
    <row r="391" spans="1:10" x14ac:dyDescent="0.2">
      <c r="A391" s="1"/>
      <c r="C391" s="1"/>
      <c r="D391" s="1"/>
      <c r="E391" s="1"/>
      <c r="F391" s="1"/>
      <c r="H391" s="1"/>
      <c r="I391" s="1"/>
      <c r="J391" s="1"/>
    </row>
    <row r="392" spans="1:10" x14ac:dyDescent="0.2">
      <c r="A392" s="1"/>
      <c r="C392" s="1"/>
      <c r="D392" s="1"/>
      <c r="E392" s="1"/>
      <c r="F392" s="1"/>
      <c r="H392" s="1"/>
      <c r="I392" s="1"/>
      <c r="J392" s="1"/>
    </row>
    <row r="393" spans="1:10" x14ac:dyDescent="0.2">
      <c r="A393" s="1"/>
      <c r="C393" s="1"/>
      <c r="D393" s="1"/>
      <c r="E393" s="1"/>
      <c r="F393" s="1"/>
      <c r="H393" s="1"/>
      <c r="I393" s="1"/>
      <c r="J393" s="1"/>
    </row>
    <row r="394" spans="1:10" x14ac:dyDescent="0.2">
      <c r="A394" s="1"/>
      <c r="C394" s="1"/>
      <c r="D394" s="1"/>
      <c r="E394" s="1"/>
      <c r="F394" s="1"/>
      <c r="H394" s="1"/>
      <c r="I394" s="1"/>
      <c r="J394" s="1"/>
    </row>
  </sheetData>
  <mergeCells count="7">
    <mergeCell ref="A54:J55"/>
    <mergeCell ref="H9:J9"/>
    <mergeCell ref="D9:F9"/>
    <mergeCell ref="A1:J1"/>
    <mergeCell ref="A2:J2"/>
    <mergeCell ref="A4:J4"/>
    <mergeCell ref="A5:J5"/>
  </mergeCells>
  <phoneticPr fontId="7" type="noConversion"/>
  <printOptions horizontalCentered="1"/>
  <pageMargins left="0.59055118110236227" right="0" top="0.51181102362204722" bottom="0.23622047244094491"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38"/>
  <sheetViews>
    <sheetView workbookViewId="0">
      <selection activeCell="F32" sqref="F32"/>
    </sheetView>
  </sheetViews>
  <sheetFormatPr defaultRowHeight="12.75" x14ac:dyDescent="0.2"/>
  <cols>
    <col min="1" max="1" width="27.140625" style="188" customWidth="1"/>
    <col min="2" max="3" width="6.7109375" style="195" customWidth="1"/>
    <col min="4" max="4" width="11.28515625" style="188" bestFit="1" customWidth="1"/>
    <col min="5" max="5" width="0.85546875" style="188" customWidth="1"/>
    <col min="6" max="6" width="10.5703125" style="188" customWidth="1"/>
    <col min="7" max="7" width="0.85546875" style="188" customWidth="1"/>
    <col min="8" max="8" width="11.28515625" style="188" bestFit="1" customWidth="1"/>
    <col min="9" max="9" width="0.85546875" style="188" customWidth="1"/>
    <col min="10" max="10" width="10.28515625" style="259" bestFit="1" customWidth="1"/>
    <col min="11" max="11" width="0.85546875" style="188" customWidth="1"/>
    <col min="12" max="12" width="9.7109375" style="188" customWidth="1"/>
    <col min="13" max="13" width="0.85546875" style="188" customWidth="1"/>
    <col min="14" max="14" width="10.140625" style="188" bestFit="1" customWidth="1"/>
    <col min="15" max="15" width="0.85546875" style="188" customWidth="1"/>
    <col min="16" max="16" width="10.28515625" style="188" bestFit="1" customWidth="1"/>
    <col min="17" max="17" width="0.85546875" style="188" customWidth="1"/>
    <col min="18" max="18" width="12.5703125" style="188" bestFit="1" customWidth="1"/>
    <col min="19" max="19" width="0.85546875" style="188" customWidth="1"/>
    <col min="20" max="20" width="10.85546875" style="188" bestFit="1" customWidth="1"/>
    <col min="21" max="21" width="0.7109375" style="188" customWidth="1"/>
    <col min="22" max="16384" width="9.140625" style="188"/>
  </cols>
  <sheetData>
    <row r="1" spans="1:22" ht="15.75" x14ac:dyDescent="0.25">
      <c r="A1" s="624" t="s">
        <v>2</v>
      </c>
      <c r="B1" s="624"/>
      <c r="C1" s="624"/>
      <c r="D1" s="624"/>
      <c r="E1" s="624"/>
      <c r="F1" s="624"/>
      <c r="G1" s="624"/>
      <c r="H1" s="624"/>
      <c r="I1" s="624"/>
      <c r="J1" s="624"/>
      <c r="K1" s="624"/>
      <c r="L1" s="624"/>
      <c r="M1" s="624"/>
      <c r="N1" s="624"/>
      <c r="O1" s="624"/>
      <c r="P1" s="624"/>
      <c r="Q1" s="624"/>
      <c r="R1" s="624"/>
      <c r="S1" s="624"/>
      <c r="T1" s="624"/>
      <c r="U1" s="624"/>
      <c r="V1" s="624"/>
    </row>
    <row r="2" spans="1:22" ht="15" x14ac:dyDescent="0.25">
      <c r="A2" s="617" t="s">
        <v>116</v>
      </c>
      <c r="B2" s="617"/>
      <c r="C2" s="617"/>
      <c r="D2" s="617"/>
      <c r="E2" s="617"/>
      <c r="F2" s="617"/>
      <c r="G2" s="617"/>
      <c r="H2" s="617"/>
      <c r="I2" s="617"/>
      <c r="J2" s="617"/>
      <c r="K2" s="617"/>
      <c r="L2" s="617"/>
      <c r="M2" s="617"/>
      <c r="N2" s="617"/>
      <c r="O2" s="617"/>
      <c r="P2" s="617"/>
      <c r="Q2" s="617"/>
      <c r="R2" s="617"/>
      <c r="S2" s="617"/>
      <c r="T2" s="617"/>
      <c r="U2" s="617"/>
      <c r="V2" s="617"/>
    </row>
    <row r="3" spans="1:22" ht="15.75" x14ac:dyDescent="0.25">
      <c r="A3" s="6"/>
      <c r="B3" s="5"/>
      <c r="C3" s="5"/>
      <c r="D3" s="6"/>
      <c r="E3" s="6"/>
      <c r="F3" s="6"/>
      <c r="G3" s="6"/>
      <c r="H3" s="6"/>
      <c r="I3" s="6"/>
      <c r="J3" s="15"/>
      <c r="K3" s="6"/>
      <c r="L3" s="7"/>
      <c r="M3" s="7"/>
      <c r="N3" s="7"/>
      <c r="O3" s="7"/>
      <c r="P3" s="7"/>
      <c r="Q3" s="7"/>
      <c r="R3" s="7"/>
      <c r="S3" s="7"/>
      <c r="T3" s="7"/>
    </row>
    <row r="4" spans="1:22" ht="15.75" x14ac:dyDescent="0.25">
      <c r="A4" s="618" t="s">
        <v>82</v>
      </c>
      <c r="B4" s="618"/>
      <c r="C4" s="618"/>
      <c r="D4" s="618"/>
      <c r="E4" s="618"/>
      <c r="F4" s="618"/>
      <c r="G4" s="618"/>
      <c r="H4" s="618"/>
      <c r="I4" s="618"/>
      <c r="J4" s="618"/>
      <c r="K4" s="618"/>
      <c r="L4" s="618"/>
      <c r="M4" s="618"/>
      <c r="N4" s="618"/>
      <c r="O4" s="618"/>
      <c r="P4" s="618"/>
      <c r="Q4" s="618"/>
      <c r="R4" s="618"/>
      <c r="S4" s="618"/>
      <c r="T4" s="618"/>
      <c r="U4" s="618"/>
      <c r="V4" s="618"/>
    </row>
    <row r="5" spans="1:22" ht="15.75" x14ac:dyDescent="0.25">
      <c r="A5" s="618" t="s">
        <v>1338</v>
      </c>
      <c r="B5" s="618"/>
      <c r="C5" s="618"/>
      <c r="D5" s="618"/>
      <c r="E5" s="618"/>
      <c r="F5" s="618"/>
      <c r="G5" s="618"/>
      <c r="H5" s="618"/>
      <c r="I5" s="618"/>
      <c r="J5" s="618"/>
      <c r="K5" s="618"/>
      <c r="L5" s="618"/>
      <c r="M5" s="618"/>
      <c r="N5" s="618"/>
      <c r="O5" s="618"/>
      <c r="P5" s="618"/>
      <c r="Q5" s="618"/>
      <c r="R5" s="618"/>
      <c r="S5" s="618"/>
      <c r="T5" s="618"/>
      <c r="U5" s="618"/>
      <c r="V5" s="618"/>
    </row>
    <row r="6" spans="1:22" x14ac:dyDescent="0.2">
      <c r="A6" s="615" t="s">
        <v>469</v>
      </c>
      <c r="B6" s="615"/>
      <c r="C6" s="615"/>
      <c r="D6" s="615"/>
      <c r="E6" s="615"/>
      <c r="F6" s="615"/>
      <c r="G6" s="615"/>
      <c r="H6" s="615"/>
      <c r="I6" s="615"/>
      <c r="J6" s="615"/>
      <c r="K6" s="615"/>
      <c r="L6" s="615"/>
      <c r="M6" s="615"/>
      <c r="N6" s="615"/>
      <c r="O6" s="615"/>
      <c r="P6" s="615"/>
      <c r="Q6" s="615"/>
      <c r="R6" s="615"/>
      <c r="S6" s="615"/>
      <c r="T6" s="615"/>
      <c r="U6" s="615"/>
      <c r="V6" s="615"/>
    </row>
    <row r="7" spans="1:22" x14ac:dyDescent="0.2">
      <c r="A7" s="7"/>
      <c r="B7" s="2"/>
      <c r="C7" s="2"/>
      <c r="D7" s="7"/>
      <c r="E7" s="7"/>
      <c r="F7" s="7"/>
      <c r="G7" s="7"/>
      <c r="H7" s="7"/>
      <c r="I7" s="7"/>
      <c r="J7" s="257"/>
      <c r="K7" s="7"/>
      <c r="L7" s="7"/>
      <c r="M7" s="7"/>
      <c r="N7" s="7"/>
      <c r="O7" s="7"/>
      <c r="P7" s="7"/>
      <c r="Q7" s="7"/>
      <c r="R7" s="7"/>
      <c r="S7" s="7"/>
      <c r="T7" s="7"/>
    </row>
    <row r="8" spans="1:22" x14ac:dyDescent="0.2">
      <c r="A8" s="7"/>
      <c r="B8" s="2"/>
      <c r="C8" s="2"/>
      <c r="D8" s="7"/>
      <c r="E8" s="13"/>
      <c r="F8" s="628" t="s">
        <v>466</v>
      </c>
      <c r="G8" s="629"/>
      <c r="H8" s="629"/>
      <c r="I8" s="629"/>
      <c r="J8" s="629"/>
      <c r="K8" s="629"/>
      <c r="L8" s="629"/>
      <c r="M8" s="629"/>
      <c r="N8" s="629"/>
      <c r="O8" s="629"/>
      <c r="P8" s="629"/>
      <c r="Q8" s="629"/>
      <c r="R8" s="629"/>
      <c r="S8" s="629"/>
      <c r="T8" s="630"/>
    </row>
    <row r="9" spans="1:22" x14ac:dyDescent="0.2">
      <c r="A9" s="7"/>
      <c r="B9" s="2"/>
      <c r="C9" s="2"/>
      <c r="D9" s="3"/>
      <c r="E9" s="3"/>
      <c r="F9" s="3"/>
      <c r="G9" s="3"/>
      <c r="H9" s="3"/>
      <c r="I9" s="3"/>
      <c r="J9" s="16"/>
      <c r="K9" s="3"/>
      <c r="L9" s="3"/>
      <c r="M9" s="3"/>
      <c r="N9" s="3"/>
      <c r="O9" s="3"/>
      <c r="P9" s="3"/>
      <c r="Q9" s="7"/>
      <c r="R9" s="7"/>
      <c r="S9" s="7"/>
      <c r="T9" s="7"/>
    </row>
    <row r="10" spans="1:22" x14ac:dyDescent="0.2">
      <c r="A10" s="7"/>
      <c r="B10" s="2"/>
      <c r="C10" s="2"/>
      <c r="D10" s="2"/>
      <c r="E10" s="2"/>
      <c r="F10" s="3"/>
      <c r="G10" s="3"/>
      <c r="H10" s="628" t="s">
        <v>114</v>
      </c>
      <c r="I10" s="629"/>
      <c r="J10" s="629"/>
      <c r="K10" s="629"/>
      <c r="L10" s="629"/>
      <c r="M10" s="629"/>
      <c r="N10" s="629"/>
      <c r="O10" s="629"/>
      <c r="P10" s="629"/>
      <c r="Q10" s="629"/>
      <c r="R10" s="630"/>
      <c r="S10" s="7"/>
      <c r="T10" s="3" t="s">
        <v>59</v>
      </c>
    </row>
    <row r="11" spans="1:22" x14ac:dyDescent="0.2">
      <c r="A11" s="7"/>
      <c r="B11" s="2"/>
      <c r="C11" s="2"/>
      <c r="D11" s="2"/>
      <c r="E11" s="2"/>
      <c r="F11" s="2" t="s">
        <v>362</v>
      </c>
      <c r="G11" s="2"/>
      <c r="H11" s="3"/>
      <c r="I11" s="3"/>
      <c r="J11" s="22"/>
      <c r="K11" s="22"/>
      <c r="L11" s="22"/>
      <c r="M11" s="21"/>
      <c r="N11" s="21"/>
      <c r="O11" s="21"/>
      <c r="P11" s="21"/>
      <c r="Q11" s="21"/>
      <c r="R11" s="21"/>
      <c r="S11" s="3"/>
      <c r="T11" s="3"/>
      <c r="U11" s="3"/>
      <c r="V11" s="3"/>
    </row>
    <row r="12" spans="1:22" x14ac:dyDescent="0.2">
      <c r="A12" s="7"/>
      <c r="B12" s="2"/>
      <c r="C12" s="2"/>
      <c r="D12" s="2"/>
      <c r="E12" s="2"/>
      <c r="F12" s="2" t="s">
        <v>363</v>
      </c>
      <c r="G12" s="2"/>
      <c r="H12" s="3"/>
      <c r="I12" s="3"/>
      <c r="J12" s="22"/>
      <c r="K12" s="22"/>
      <c r="L12" s="22"/>
      <c r="M12" s="21"/>
      <c r="N12" s="21"/>
      <c r="O12" s="21"/>
      <c r="P12" s="21"/>
      <c r="Q12" s="21"/>
      <c r="R12" s="21"/>
      <c r="S12" s="3"/>
      <c r="T12" s="3"/>
      <c r="U12" s="3"/>
      <c r="V12" s="3"/>
    </row>
    <row r="13" spans="1:22" x14ac:dyDescent="0.2">
      <c r="A13" s="7"/>
      <c r="B13" s="2"/>
      <c r="C13" s="2"/>
      <c r="D13" s="2"/>
      <c r="E13" s="2"/>
      <c r="F13" s="2" t="s">
        <v>364</v>
      </c>
      <c r="G13" s="2"/>
      <c r="H13" s="3"/>
      <c r="I13" s="3"/>
      <c r="J13" s="22"/>
      <c r="K13" s="22"/>
      <c r="L13" s="22"/>
      <c r="M13" s="21"/>
      <c r="N13" s="21"/>
      <c r="O13" s="21"/>
      <c r="P13" s="21"/>
      <c r="Q13" s="21"/>
      <c r="R13" s="21"/>
      <c r="S13" s="3"/>
      <c r="T13" s="3"/>
      <c r="U13" s="3"/>
      <c r="V13" s="7"/>
    </row>
    <row r="14" spans="1:22" x14ac:dyDescent="0.2">
      <c r="A14" s="7"/>
      <c r="B14" s="2"/>
      <c r="C14" s="2"/>
      <c r="D14" s="2"/>
      <c r="E14" s="2"/>
      <c r="F14" s="2" t="s">
        <v>366</v>
      </c>
      <c r="G14" s="2"/>
      <c r="H14" s="3"/>
      <c r="I14" s="3"/>
      <c r="J14" s="21"/>
      <c r="K14" s="22"/>
      <c r="L14" s="22"/>
      <c r="M14" s="21"/>
      <c r="N14" s="21"/>
      <c r="O14" s="21"/>
      <c r="P14" s="21"/>
      <c r="Q14" s="21"/>
      <c r="R14" s="21" t="s">
        <v>61</v>
      </c>
      <c r="S14" s="3"/>
      <c r="T14" s="3"/>
      <c r="U14" s="3"/>
      <c r="V14" s="2" t="s">
        <v>365</v>
      </c>
    </row>
    <row r="15" spans="1:22" x14ac:dyDescent="0.2">
      <c r="A15" s="7"/>
      <c r="B15" s="2"/>
      <c r="C15" s="2"/>
      <c r="D15" s="2" t="s">
        <v>362</v>
      </c>
      <c r="E15" s="2"/>
      <c r="F15" s="2" t="s">
        <v>467</v>
      </c>
      <c r="G15" s="2"/>
      <c r="H15" s="2" t="s">
        <v>4</v>
      </c>
      <c r="I15" s="2"/>
      <c r="J15" s="2" t="s">
        <v>5</v>
      </c>
      <c r="K15" s="2"/>
      <c r="L15" s="17" t="s">
        <v>72</v>
      </c>
      <c r="M15" s="416"/>
      <c r="N15" s="416" t="s">
        <v>62</v>
      </c>
      <c r="O15" s="2"/>
      <c r="P15" s="2" t="s">
        <v>1334</v>
      </c>
      <c r="Q15" s="7"/>
      <c r="R15" s="2" t="s">
        <v>115</v>
      </c>
      <c r="S15" s="2"/>
      <c r="T15" s="2" t="s">
        <v>6</v>
      </c>
      <c r="U15" s="2"/>
      <c r="V15" s="2" t="s">
        <v>367</v>
      </c>
    </row>
    <row r="16" spans="1:22" x14ac:dyDescent="0.2">
      <c r="A16" s="7"/>
      <c r="B16" s="2" t="s">
        <v>17</v>
      </c>
      <c r="C16" s="2"/>
      <c r="D16" s="2" t="s">
        <v>7</v>
      </c>
      <c r="E16" s="2"/>
      <c r="F16" s="2" t="s">
        <v>7</v>
      </c>
      <c r="G16" s="2"/>
      <c r="H16" s="2" t="s">
        <v>61</v>
      </c>
      <c r="I16" s="2"/>
      <c r="J16" s="2" t="s">
        <v>60</v>
      </c>
      <c r="K16" s="2"/>
      <c r="L16" s="17" t="s">
        <v>73</v>
      </c>
      <c r="M16" s="416"/>
      <c r="N16" s="416" t="s">
        <v>15</v>
      </c>
      <c r="O16" s="2"/>
      <c r="P16" s="2" t="s">
        <v>15</v>
      </c>
      <c r="Q16" s="7"/>
      <c r="R16" s="2" t="s">
        <v>468</v>
      </c>
      <c r="S16" s="2"/>
      <c r="T16" s="2" t="s">
        <v>63</v>
      </c>
      <c r="U16" s="2"/>
      <c r="V16" s="2" t="s">
        <v>368</v>
      </c>
    </row>
    <row r="17" spans="1:22" x14ac:dyDescent="0.2">
      <c r="A17" s="7"/>
      <c r="B17" s="2"/>
      <c r="C17" s="2"/>
      <c r="D17" s="2" t="s">
        <v>1</v>
      </c>
      <c r="E17" s="2"/>
      <c r="F17" s="2" t="s">
        <v>1</v>
      </c>
      <c r="G17" s="2"/>
      <c r="H17" s="2" t="s">
        <v>1</v>
      </c>
      <c r="I17" s="2"/>
      <c r="J17" s="2" t="s">
        <v>1</v>
      </c>
      <c r="K17" s="2" t="s">
        <v>0</v>
      </c>
      <c r="L17" s="17" t="s">
        <v>1</v>
      </c>
      <c r="M17" s="416"/>
      <c r="N17" s="416" t="s">
        <v>1</v>
      </c>
      <c r="O17" s="2"/>
      <c r="P17" s="2" t="s">
        <v>1</v>
      </c>
      <c r="Q17" s="7"/>
      <c r="R17" s="2" t="s">
        <v>1</v>
      </c>
      <c r="S17" s="2" t="s">
        <v>0</v>
      </c>
      <c r="T17" s="2" t="s">
        <v>1</v>
      </c>
      <c r="U17" s="2" t="s">
        <v>0</v>
      </c>
      <c r="V17" s="2" t="s">
        <v>1</v>
      </c>
    </row>
    <row r="18" spans="1:22" x14ac:dyDescent="0.2">
      <c r="D18" s="195"/>
      <c r="E18" s="195"/>
      <c r="F18" s="195"/>
      <c r="G18" s="195"/>
      <c r="J18" s="188"/>
      <c r="L18" s="259"/>
    </row>
    <row r="19" spans="1:22" x14ac:dyDescent="0.2">
      <c r="D19" s="195"/>
      <c r="E19" s="195"/>
      <c r="F19" s="195"/>
      <c r="G19" s="195"/>
      <c r="J19" s="188"/>
      <c r="L19" s="259"/>
    </row>
    <row r="20" spans="1:22" s="7" customFormat="1" x14ac:dyDescent="0.2">
      <c r="A20" s="7" t="s">
        <v>1007</v>
      </c>
      <c r="B20" s="416"/>
      <c r="C20" s="416"/>
      <c r="D20" s="82">
        <f>F20+V20</f>
        <v>136790</v>
      </c>
      <c r="E20" s="83"/>
      <c r="F20" s="82">
        <f>SUM(H20:T20)</f>
        <v>120809</v>
      </c>
      <c r="G20" s="260"/>
      <c r="H20" s="27">
        <v>195935</v>
      </c>
      <c r="I20" s="27"/>
      <c r="J20" s="27">
        <v>3806</v>
      </c>
      <c r="K20" s="27"/>
      <c r="L20" s="27">
        <v>-3280</v>
      </c>
      <c r="M20" s="27"/>
      <c r="N20" s="27">
        <v>-8141</v>
      </c>
      <c r="O20" s="27"/>
      <c r="P20" s="27">
        <v>0</v>
      </c>
      <c r="Q20" s="27"/>
      <c r="R20" s="27">
        <v>20494</v>
      </c>
      <c r="S20" s="27"/>
      <c r="T20" s="27">
        <v>-88005</v>
      </c>
      <c r="U20" s="27"/>
      <c r="V20" s="27">
        <v>15981</v>
      </c>
    </row>
    <row r="21" spans="1:22" s="7" customFormat="1" x14ac:dyDescent="0.2">
      <c r="A21" s="7" t="s">
        <v>1008</v>
      </c>
      <c r="B21" s="416"/>
      <c r="C21" s="416"/>
      <c r="D21" s="82">
        <f>F21+V21</f>
        <v>-1078</v>
      </c>
      <c r="E21" s="83"/>
      <c r="F21" s="82">
        <f>SUM(H21:T21)</f>
        <v>-855</v>
      </c>
      <c r="G21" s="260"/>
      <c r="H21" s="27">
        <v>0</v>
      </c>
      <c r="I21" s="27"/>
      <c r="J21" s="27">
        <v>0</v>
      </c>
      <c r="K21" s="27"/>
      <c r="L21" s="27">
        <v>0</v>
      </c>
      <c r="M21" s="27"/>
      <c r="N21" s="27">
        <v>0</v>
      </c>
      <c r="O21" s="27"/>
      <c r="P21" s="27">
        <v>0</v>
      </c>
      <c r="Q21" s="27"/>
      <c r="R21" s="27">
        <v>0</v>
      </c>
      <c r="S21" s="27"/>
      <c r="T21" s="27">
        <f>-855</f>
        <v>-855</v>
      </c>
      <c r="U21" s="27"/>
      <c r="V21" s="27">
        <f>-223</f>
        <v>-223</v>
      </c>
    </row>
    <row r="22" spans="1:22" s="7" customFormat="1" hidden="1" x14ac:dyDescent="0.2">
      <c r="A22" s="7" t="s">
        <v>1207</v>
      </c>
      <c r="B22" s="416"/>
      <c r="C22" s="416"/>
      <c r="D22" s="82">
        <f>F22+V22</f>
        <v>0</v>
      </c>
      <c r="E22" s="83"/>
      <c r="F22" s="82">
        <f>SUM(H22:T22)</f>
        <v>0</v>
      </c>
      <c r="G22" s="260"/>
      <c r="H22" s="27"/>
      <c r="I22" s="27"/>
      <c r="J22" s="27"/>
      <c r="K22" s="27"/>
      <c r="L22" s="27"/>
      <c r="M22" s="27"/>
      <c r="N22" s="27">
        <v>0</v>
      </c>
      <c r="O22" s="27"/>
      <c r="P22" s="27">
        <v>0</v>
      </c>
      <c r="Q22" s="27"/>
      <c r="R22" s="27"/>
      <c r="S22" s="27"/>
      <c r="T22" s="27">
        <v>0</v>
      </c>
      <c r="U22" s="27"/>
      <c r="V22" s="27">
        <v>0</v>
      </c>
    </row>
    <row r="23" spans="1:22" ht="13.5" thickBot="1" x14ac:dyDescent="0.25">
      <c r="A23" s="604" t="s">
        <v>1353</v>
      </c>
      <c r="B23" s="416"/>
      <c r="C23" s="416"/>
      <c r="D23" s="85">
        <f>SUM(D20:D22)</f>
        <v>135712</v>
      </c>
      <c r="E23" s="83"/>
      <c r="F23" s="85">
        <f>SUM(F20:F22)</f>
        <v>119954</v>
      </c>
      <c r="G23" s="260"/>
      <c r="H23" s="258">
        <f>SUM(H20:H22)</f>
        <v>195935</v>
      </c>
      <c r="I23" s="28"/>
      <c r="J23" s="258">
        <f>SUM(J20:J22)</f>
        <v>3806</v>
      </c>
      <c r="K23" s="28"/>
      <c r="L23" s="258">
        <f>SUM(L20:L22)</f>
        <v>-3280</v>
      </c>
      <c r="M23" s="28"/>
      <c r="N23" s="258">
        <f>SUM(N20:N22)</f>
        <v>-8141</v>
      </c>
      <c r="O23" s="28"/>
      <c r="P23" s="258">
        <f>SUM(P20:P22)</f>
        <v>0</v>
      </c>
      <c r="Q23" s="28"/>
      <c r="R23" s="258">
        <f>SUM(R20:R22)</f>
        <v>20494</v>
      </c>
      <c r="S23" s="28"/>
      <c r="T23" s="258">
        <f>SUM(T20:T22)</f>
        <v>-88860</v>
      </c>
      <c r="U23" s="28"/>
      <c r="V23" s="258">
        <f>SUM(V20:V22)</f>
        <v>15758</v>
      </c>
    </row>
    <row r="24" spans="1:22" ht="13.5" thickTop="1" x14ac:dyDescent="0.2">
      <c r="D24" s="260"/>
      <c r="E24" s="260"/>
      <c r="F24" s="260"/>
      <c r="G24" s="260"/>
      <c r="H24" s="27"/>
      <c r="I24" s="27"/>
      <c r="J24" s="27"/>
      <c r="K24" s="27"/>
      <c r="L24" s="27"/>
      <c r="M24" s="27"/>
      <c r="N24" s="27"/>
      <c r="O24" s="27"/>
      <c r="P24" s="27"/>
      <c r="Q24" s="27"/>
      <c r="R24" s="27"/>
      <c r="S24" s="27"/>
      <c r="T24" s="27"/>
      <c r="U24" s="27"/>
      <c r="V24" s="27"/>
    </row>
    <row r="25" spans="1:22" x14ac:dyDescent="0.2">
      <c r="D25" s="260"/>
      <c r="E25" s="260"/>
      <c r="F25" s="260"/>
      <c r="G25" s="260"/>
      <c r="H25" s="196"/>
      <c r="I25" s="196"/>
      <c r="J25" s="196"/>
      <c r="K25" s="196"/>
      <c r="L25" s="196"/>
      <c r="M25" s="196"/>
      <c r="N25" s="196"/>
      <c r="O25" s="196"/>
      <c r="P25" s="196"/>
      <c r="Q25" s="196"/>
      <c r="R25" s="196"/>
      <c r="S25" s="196"/>
      <c r="T25" s="196"/>
      <c r="U25" s="196"/>
      <c r="V25" s="196"/>
    </row>
    <row r="26" spans="1:22" s="7" customFormat="1" x14ac:dyDescent="0.2">
      <c r="A26" s="7" t="s">
        <v>1335</v>
      </c>
      <c r="B26" s="416"/>
      <c r="C26" s="416"/>
      <c r="D26" s="82">
        <f>F26+V26</f>
        <v>147166</v>
      </c>
      <c r="E26" s="83"/>
      <c r="F26" s="82">
        <f>SUM(H26:T26)</f>
        <v>131912</v>
      </c>
      <c r="G26" s="84"/>
      <c r="H26" s="27">
        <v>195935</v>
      </c>
      <c r="I26" s="27"/>
      <c r="J26" s="27">
        <v>3806</v>
      </c>
      <c r="K26" s="27"/>
      <c r="L26" s="27">
        <v>-3280</v>
      </c>
      <c r="M26" s="27"/>
      <c r="N26" s="27">
        <v>-8141</v>
      </c>
      <c r="O26" s="27"/>
      <c r="P26" s="27">
        <v>21277</v>
      </c>
      <c r="Q26" s="27"/>
      <c r="R26" s="27">
        <v>20494</v>
      </c>
      <c r="S26" s="27"/>
      <c r="T26" s="27">
        <f>-98179</f>
        <v>-98179</v>
      </c>
      <c r="U26" s="27"/>
      <c r="V26" s="27">
        <v>15254</v>
      </c>
    </row>
    <row r="27" spans="1:22" s="7" customFormat="1" x14ac:dyDescent="0.2">
      <c r="A27" s="7" t="s">
        <v>1008</v>
      </c>
      <c r="B27" s="195"/>
      <c r="C27" s="195"/>
      <c r="D27" s="82">
        <f>F27+V27</f>
        <v>-2231</v>
      </c>
      <c r="E27" s="83"/>
      <c r="F27" s="82">
        <f>SUM(H27:T27)</f>
        <v>-2041</v>
      </c>
      <c r="G27" s="84"/>
      <c r="H27" s="27">
        <v>0</v>
      </c>
      <c r="I27" s="27"/>
      <c r="J27" s="27">
        <v>0</v>
      </c>
      <c r="K27" s="27"/>
      <c r="L27" s="27">
        <v>0</v>
      </c>
      <c r="M27" s="27"/>
      <c r="N27" s="27"/>
      <c r="O27" s="27"/>
      <c r="P27" s="27">
        <v>0</v>
      </c>
      <c r="Q27" s="27"/>
      <c r="R27" s="27">
        <v>0</v>
      </c>
      <c r="S27" s="27"/>
      <c r="T27" s="27">
        <f>-2041</f>
        <v>-2041</v>
      </c>
      <c r="U27" s="27"/>
      <c r="V27" s="27">
        <f>-190</f>
        <v>-190</v>
      </c>
    </row>
    <row r="28" spans="1:22" s="7" customFormat="1" hidden="1" x14ac:dyDescent="0.2">
      <c r="A28" s="7" t="s">
        <v>1207</v>
      </c>
      <c r="B28" s="195"/>
      <c r="C28" s="195"/>
      <c r="D28" s="82">
        <f>F28+V28</f>
        <v>0</v>
      </c>
      <c r="E28" s="83"/>
      <c r="F28" s="82">
        <f>SUM(H28:T28)</f>
        <v>0</v>
      </c>
      <c r="G28" s="84"/>
      <c r="H28" s="27"/>
      <c r="I28" s="27"/>
      <c r="J28" s="27"/>
      <c r="K28" s="27"/>
      <c r="L28" s="27"/>
      <c r="M28" s="27"/>
      <c r="N28" s="27"/>
      <c r="O28" s="27"/>
      <c r="P28" s="27">
        <v>0</v>
      </c>
      <c r="Q28" s="27"/>
      <c r="R28" s="27"/>
      <c r="S28" s="27"/>
      <c r="T28" s="27">
        <v>0</v>
      </c>
      <c r="U28" s="27"/>
      <c r="V28" s="27">
        <v>0</v>
      </c>
    </row>
    <row r="29" spans="1:22" s="7" customFormat="1" ht="13.5" thickBot="1" x14ac:dyDescent="0.25">
      <c r="A29" s="7" t="s">
        <v>1336</v>
      </c>
      <c r="B29" s="195"/>
      <c r="C29" s="195"/>
      <c r="D29" s="85">
        <f>SUM(D26:D28)</f>
        <v>144935</v>
      </c>
      <c r="E29" s="83"/>
      <c r="F29" s="85">
        <f>SUM(F26:F28)</f>
        <v>129871</v>
      </c>
      <c r="G29" s="84"/>
      <c r="H29" s="258">
        <f>SUM(H26:H28)</f>
        <v>195935</v>
      </c>
      <c r="I29" s="28"/>
      <c r="J29" s="258">
        <f>SUM(J26:J28)</f>
        <v>3806</v>
      </c>
      <c r="K29" s="28"/>
      <c r="L29" s="258">
        <f>SUM(L26:L28)</f>
        <v>-3280</v>
      </c>
      <c r="M29" s="28"/>
      <c r="N29" s="258">
        <f>SUM(N26:N28)</f>
        <v>-8141</v>
      </c>
      <c r="O29" s="28"/>
      <c r="P29" s="258">
        <f>SUM(P26:P28)</f>
        <v>21277</v>
      </c>
      <c r="Q29" s="28"/>
      <c r="R29" s="258">
        <f>SUM(R26:R28)</f>
        <v>20494</v>
      </c>
      <c r="S29" s="28"/>
      <c r="T29" s="258">
        <f>SUM(T26:T28)</f>
        <v>-100220</v>
      </c>
      <c r="U29" s="28"/>
      <c r="V29" s="258">
        <f>SUM(V26:V28)</f>
        <v>15064</v>
      </c>
    </row>
    <row r="30" spans="1:22" ht="13.5" thickTop="1" x14ac:dyDescent="0.2">
      <c r="D30" s="242"/>
      <c r="E30" s="242"/>
      <c r="F30" s="242"/>
      <c r="G30" s="242"/>
      <c r="H30" s="242"/>
      <c r="I30" s="242"/>
      <c r="J30" s="261"/>
      <c r="K30" s="242"/>
      <c r="L30" s="242"/>
      <c r="M30" s="242"/>
      <c r="N30" s="242"/>
      <c r="O30" s="242"/>
      <c r="P30" s="242"/>
    </row>
    <row r="31" spans="1:22" x14ac:dyDescent="0.2">
      <c r="D31" s="241"/>
      <c r="E31" s="241"/>
      <c r="F31" s="241"/>
      <c r="G31" s="241"/>
      <c r="H31" s="241"/>
      <c r="I31" s="241"/>
      <c r="K31" s="241"/>
      <c r="L31" s="241"/>
      <c r="M31" s="241"/>
      <c r="N31" s="241"/>
      <c r="O31" s="241"/>
      <c r="P31" s="241"/>
    </row>
    <row r="32" spans="1:22" x14ac:dyDescent="0.2">
      <c r="D32" s="241"/>
      <c r="E32" s="241"/>
      <c r="F32" s="241"/>
      <c r="G32" s="241"/>
      <c r="H32" s="241"/>
      <c r="I32" s="241"/>
      <c r="K32" s="241"/>
      <c r="L32" s="241"/>
      <c r="M32" s="241"/>
      <c r="N32" s="241"/>
      <c r="O32" s="241"/>
      <c r="P32" s="241"/>
    </row>
    <row r="33" spans="1:16" x14ac:dyDescent="0.2">
      <c r="D33" s="241"/>
      <c r="E33" s="241"/>
      <c r="F33" s="241"/>
      <c r="G33" s="241"/>
      <c r="H33" s="241"/>
      <c r="I33" s="241"/>
      <c r="K33" s="241"/>
      <c r="L33" s="241"/>
      <c r="M33" s="241"/>
      <c r="N33" s="241"/>
      <c r="O33" s="241"/>
      <c r="P33" s="241"/>
    </row>
    <row r="34" spans="1:16" s="7" customFormat="1" ht="12.75" customHeight="1" x14ac:dyDescent="0.2">
      <c r="A34" s="614" t="s">
        <v>1337</v>
      </c>
      <c r="B34" s="614"/>
      <c r="C34" s="614"/>
      <c r="D34" s="614"/>
      <c r="E34" s="614"/>
      <c r="F34" s="614"/>
      <c r="G34" s="614"/>
      <c r="H34" s="614"/>
      <c r="I34" s="614"/>
      <c r="J34" s="614"/>
      <c r="K34" s="614"/>
      <c r="L34" s="614"/>
      <c r="M34" s="614"/>
      <c r="N34" s="614"/>
      <c r="O34" s="614"/>
      <c r="P34" s="614"/>
    </row>
    <row r="35" spans="1:16" s="7" customFormat="1" x14ac:dyDescent="0.2">
      <c r="A35" s="614"/>
      <c r="B35" s="614"/>
      <c r="C35" s="614"/>
      <c r="D35" s="614"/>
      <c r="E35" s="614"/>
      <c r="F35" s="614"/>
      <c r="G35" s="614"/>
      <c r="H35" s="614"/>
      <c r="I35" s="614"/>
      <c r="J35" s="614"/>
      <c r="K35" s="614"/>
      <c r="L35" s="614"/>
      <c r="M35" s="614"/>
      <c r="N35" s="614"/>
      <c r="O35" s="614"/>
      <c r="P35" s="614"/>
    </row>
    <row r="36" spans="1:16" x14ac:dyDescent="0.2">
      <c r="A36" s="187"/>
      <c r="B36" s="187"/>
      <c r="C36" s="187"/>
      <c r="D36" s="187"/>
      <c r="E36" s="187"/>
      <c r="F36" s="187"/>
      <c r="G36" s="187"/>
      <c r="H36" s="187"/>
      <c r="I36" s="187"/>
      <c r="J36" s="187"/>
      <c r="K36" s="187"/>
      <c r="L36" s="187"/>
      <c r="M36" s="187"/>
      <c r="N36" s="187"/>
      <c r="O36" s="187"/>
      <c r="P36" s="187"/>
    </row>
    <row r="37" spans="1:16" x14ac:dyDescent="0.2">
      <c r="D37" s="241"/>
      <c r="E37" s="241"/>
      <c r="F37" s="241"/>
      <c r="G37" s="241"/>
      <c r="H37" s="241"/>
      <c r="I37" s="241"/>
      <c r="K37" s="241"/>
      <c r="L37" s="241"/>
      <c r="M37" s="241"/>
      <c r="N37" s="241"/>
      <c r="O37" s="241"/>
      <c r="P37" s="241"/>
    </row>
    <row r="38" spans="1:16" x14ac:dyDescent="0.2">
      <c r="D38" s="241"/>
      <c r="E38" s="241"/>
      <c r="F38" s="241"/>
      <c r="G38" s="241"/>
      <c r="H38" s="241"/>
      <c r="I38" s="241"/>
      <c r="K38" s="241"/>
      <c r="L38" s="241"/>
      <c r="M38" s="241"/>
      <c r="N38" s="241"/>
      <c r="O38" s="241"/>
      <c r="P38" s="241"/>
    </row>
  </sheetData>
  <mergeCells count="8">
    <mergeCell ref="A34:P35"/>
    <mergeCell ref="F8:T8"/>
    <mergeCell ref="H10:R10"/>
    <mergeCell ref="A1:V1"/>
    <mergeCell ref="A2:V2"/>
    <mergeCell ref="A4:V4"/>
    <mergeCell ref="A5:V5"/>
    <mergeCell ref="A6:V6"/>
  </mergeCells>
  <phoneticPr fontId="7" type="noConversion"/>
  <printOptions horizontalCentered="1"/>
  <pageMargins left="0.5" right="0" top="0.5" bottom="0.5" header="0.5" footer="0.5"/>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78"/>
  <sheetViews>
    <sheetView topLeftCell="A26" workbookViewId="0">
      <selection activeCell="F54" sqref="F54"/>
    </sheetView>
  </sheetViews>
  <sheetFormatPr defaultRowHeight="12.75" outlineLevelRow="1" x14ac:dyDescent="0.2"/>
  <cols>
    <col min="1" max="1" width="55.7109375" style="7" customWidth="1"/>
    <col min="2" max="2" width="8.28515625" style="7" customWidth="1"/>
    <col min="3" max="3" width="10.7109375" style="7" customWidth="1"/>
    <col min="4" max="4" width="8.28515625" style="7" customWidth="1"/>
  </cols>
  <sheetData>
    <row r="1" spans="1:4" ht="15.75" x14ac:dyDescent="0.25">
      <c r="A1" s="624" t="s">
        <v>2</v>
      </c>
      <c r="B1" s="624"/>
      <c r="C1" s="624"/>
      <c r="D1" s="624"/>
    </row>
    <row r="2" spans="1:4" ht="15" x14ac:dyDescent="0.25">
      <c r="A2" s="617" t="s">
        <v>116</v>
      </c>
      <c r="B2" s="617"/>
      <c r="C2" s="617"/>
      <c r="D2" s="617"/>
    </row>
    <row r="3" spans="1:4" s="24" customFormat="1" ht="8.25" x14ac:dyDescent="0.15">
      <c r="A3" s="23"/>
      <c r="B3" s="23"/>
      <c r="C3" s="23"/>
    </row>
    <row r="4" spans="1:4" ht="15.75" x14ac:dyDescent="0.25">
      <c r="A4" s="618" t="s">
        <v>125</v>
      </c>
      <c r="B4" s="618"/>
      <c r="C4" s="618"/>
      <c r="D4" s="618"/>
    </row>
    <row r="5" spans="1:4" ht="15.75" x14ac:dyDescent="0.25">
      <c r="A5" s="619" t="s">
        <v>1338</v>
      </c>
      <c r="B5" s="619"/>
      <c r="C5" s="619"/>
      <c r="D5" s="619"/>
    </row>
    <row r="6" spans="1:4" x14ac:dyDescent="0.2">
      <c r="A6" s="108"/>
      <c r="B6" s="108"/>
      <c r="C6" s="108"/>
      <c r="D6" s="108"/>
    </row>
    <row r="7" spans="1:4" x14ac:dyDescent="0.2">
      <c r="B7" s="494" t="s">
        <v>1117</v>
      </c>
      <c r="C7" s="188"/>
      <c r="D7" s="494" t="s">
        <v>1105</v>
      </c>
    </row>
    <row r="8" spans="1:4" x14ac:dyDescent="0.2">
      <c r="B8" s="88" t="s">
        <v>1304</v>
      </c>
      <c r="C8" s="195"/>
      <c r="D8" s="494" t="s">
        <v>1009</v>
      </c>
    </row>
    <row r="9" spans="1:4" x14ac:dyDescent="0.2">
      <c r="B9" s="494" t="s">
        <v>1</v>
      </c>
      <c r="C9" s="275"/>
      <c r="D9" s="494" t="s">
        <v>1</v>
      </c>
    </row>
    <row r="10" spans="1:4" s="26" customFormat="1" x14ac:dyDescent="0.2">
      <c r="A10" s="24"/>
      <c r="B10" s="339" t="s">
        <v>619</v>
      </c>
      <c r="C10" s="581"/>
      <c r="D10" s="339" t="s">
        <v>303</v>
      </c>
    </row>
    <row r="11" spans="1:4" x14ac:dyDescent="0.2">
      <c r="A11" s="3" t="s">
        <v>731</v>
      </c>
      <c r="B11" s="196"/>
      <c r="C11" s="196"/>
      <c r="D11" s="27"/>
    </row>
    <row r="12" spans="1:4" x14ac:dyDescent="0.2">
      <c r="A12" s="7" t="s">
        <v>137</v>
      </c>
      <c r="B12" s="588">
        <f>-2250</f>
        <v>-2250</v>
      </c>
      <c r="C12" s="196"/>
      <c r="D12" s="588">
        <f>-1078</f>
        <v>-1078</v>
      </c>
    </row>
    <row r="13" spans="1:4" x14ac:dyDescent="0.2">
      <c r="A13" s="7" t="s">
        <v>98</v>
      </c>
      <c r="B13" s="196"/>
      <c r="C13" s="196"/>
      <c r="D13" s="588"/>
    </row>
    <row r="14" spans="1:4" x14ac:dyDescent="0.2">
      <c r="A14" s="7" t="s">
        <v>100</v>
      </c>
      <c r="B14" s="588">
        <f>-58</f>
        <v>-58</v>
      </c>
      <c r="C14" s="196"/>
      <c r="D14" s="588">
        <f>-50</f>
        <v>-50</v>
      </c>
    </row>
    <row r="15" spans="1:4" x14ac:dyDescent="0.2">
      <c r="A15" s="7" t="s">
        <v>3</v>
      </c>
      <c r="B15" s="588">
        <v>582</v>
      </c>
      <c r="C15" s="196"/>
      <c r="D15" s="588">
        <v>584</v>
      </c>
    </row>
    <row r="16" spans="1:4" x14ac:dyDescent="0.2">
      <c r="A16" s="7" t="s">
        <v>99</v>
      </c>
      <c r="B16" s="588">
        <v>443</v>
      </c>
      <c r="C16" s="196"/>
      <c r="D16" s="588">
        <v>531</v>
      </c>
    </row>
    <row r="17" spans="1:4" x14ac:dyDescent="0.2">
      <c r="A17" s="7" t="s">
        <v>1062</v>
      </c>
      <c r="B17" s="588">
        <v>0</v>
      </c>
      <c r="C17" s="196"/>
      <c r="D17" s="588">
        <f>-54</f>
        <v>-54</v>
      </c>
    </row>
    <row r="18" spans="1:4" x14ac:dyDescent="0.2">
      <c r="A18" s="7" t="s">
        <v>922</v>
      </c>
      <c r="B18" s="588">
        <v>0</v>
      </c>
      <c r="C18" s="196"/>
      <c r="D18" s="588">
        <v>1</v>
      </c>
    </row>
    <row r="19" spans="1:4" hidden="1" outlineLevel="1" x14ac:dyDescent="0.2">
      <c r="A19" s="7" t="s">
        <v>1106</v>
      </c>
      <c r="B19" s="588">
        <v>0</v>
      </c>
      <c r="C19" s="196"/>
      <c r="D19" s="588">
        <v>0</v>
      </c>
    </row>
    <row r="20" spans="1:4" collapsed="1" x14ac:dyDescent="0.2">
      <c r="A20" s="7" t="s">
        <v>96</v>
      </c>
      <c r="B20" s="588">
        <v>15</v>
      </c>
      <c r="C20" s="196"/>
      <c r="D20" s="588">
        <v>2</v>
      </c>
    </row>
    <row r="21" spans="1:4" hidden="1" outlineLevel="1" x14ac:dyDescent="0.2">
      <c r="A21" s="7" t="s">
        <v>1152</v>
      </c>
      <c r="B21" s="588">
        <v>0</v>
      </c>
      <c r="C21" s="196"/>
      <c r="D21" s="588">
        <v>0</v>
      </c>
    </row>
    <row r="22" spans="1:4" hidden="1" outlineLevel="1" x14ac:dyDescent="0.2">
      <c r="A22" s="7" t="s">
        <v>1107</v>
      </c>
      <c r="B22" s="588">
        <v>0</v>
      </c>
      <c r="C22" s="196"/>
      <c r="D22" s="588">
        <v>0</v>
      </c>
    </row>
    <row r="23" spans="1:4" hidden="1" outlineLevel="1" x14ac:dyDescent="0.2">
      <c r="A23" s="7" t="s">
        <v>968</v>
      </c>
      <c r="B23" s="588">
        <v>0</v>
      </c>
      <c r="C23" s="196"/>
      <c r="D23" s="588">
        <v>0</v>
      </c>
    </row>
    <row r="24" spans="1:4" hidden="1" outlineLevel="1" x14ac:dyDescent="0.2">
      <c r="A24" s="7" t="s">
        <v>1345</v>
      </c>
      <c r="B24" s="588"/>
      <c r="C24" s="196"/>
      <c r="D24" s="588">
        <v>0</v>
      </c>
    </row>
    <row r="25" spans="1:4" collapsed="1" x14ac:dyDescent="0.2">
      <c r="B25" s="589"/>
      <c r="C25" s="324"/>
      <c r="D25" s="589"/>
    </row>
    <row r="26" spans="1:4" x14ac:dyDescent="0.2">
      <c r="A26" s="3" t="s">
        <v>677</v>
      </c>
      <c r="B26" s="590">
        <f>SUM(B12:B25)</f>
        <v>-1268</v>
      </c>
      <c r="C26" s="196"/>
      <c r="D26" s="590">
        <f>SUM(D12:D25)</f>
        <v>-64</v>
      </c>
    </row>
    <row r="27" spans="1:4" x14ac:dyDescent="0.2">
      <c r="A27" s="7" t="s">
        <v>1063</v>
      </c>
      <c r="B27" s="590">
        <f>-5</f>
        <v>-5</v>
      </c>
      <c r="C27" s="196"/>
      <c r="D27" s="590">
        <f>-440</f>
        <v>-440</v>
      </c>
    </row>
    <row r="28" spans="1:4" x14ac:dyDescent="0.2">
      <c r="A28" s="7" t="s">
        <v>290</v>
      </c>
      <c r="B28" s="588">
        <v>3210</v>
      </c>
      <c r="C28" s="196"/>
      <c r="D28" s="588">
        <f>-2452</f>
        <v>-2452</v>
      </c>
    </row>
    <row r="29" spans="1:4" x14ac:dyDescent="0.2">
      <c r="A29" s="7" t="s">
        <v>1115</v>
      </c>
      <c r="B29" s="588">
        <v>6166</v>
      </c>
      <c r="C29" s="196"/>
      <c r="D29" s="588">
        <v>52</v>
      </c>
    </row>
    <row r="30" spans="1:4" x14ac:dyDescent="0.2">
      <c r="A30" s="604" t="s">
        <v>1355</v>
      </c>
      <c r="B30" s="588">
        <v>1512</v>
      </c>
      <c r="C30" s="196"/>
      <c r="D30" s="588">
        <v>8794</v>
      </c>
    </row>
    <row r="31" spans="1:4" x14ac:dyDescent="0.2">
      <c r="A31" s="7" t="s">
        <v>1014</v>
      </c>
      <c r="B31" s="590">
        <f>-5259</f>
        <v>-5259</v>
      </c>
      <c r="C31" s="324"/>
      <c r="D31" s="590">
        <v>3206</v>
      </c>
    </row>
    <row r="32" spans="1:4" x14ac:dyDescent="0.2">
      <c r="A32" s="7" t="s">
        <v>1034</v>
      </c>
      <c r="B32" s="589">
        <v>0</v>
      </c>
      <c r="C32" s="196"/>
      <c r="D32" s="589">
        <v>0</v>
      </c>
    </row>
    <row r="33" spans="1:7" outlineLevel="1" x14ac:dyDescent="0.2">
      <c r="A33" s="3" t="s">
        <v>1064</v>
      </c>
      <c r="B33" s="588">
        <f>SUM(B26:B32)</f>
        <v>4356</v>
      </c>
      <c r="C33" s="196"/>
      <c r="D33" s="588">
        <f>SUM(D26:D32)</f>
        <v>9096</v>
      </c>
    </row>
    <row r="34" spans="1:7" x14ac:dyDescent="0.2">
      <c r="A34" s="7" t="s">
        <v>104</v>
      </c>
      <c r="B34" s="588">
        <v>58</v>
      </c>
      <c r="C34" s="196"/>
      <c r="D34" s="588">
        <v>50</v>
      </c>
    </row>
    <row r="35" spans="1:7" x14ac:dyDescent="0.2">
      <c r="A35" s="7" t="s">
        <v>101</v>
      </c>
      <c r="B35" s="588">
        <f>-582</f>
        <v>-582</v>
      </c>
      <c r="C35" s="196"/>
      <c r="D35" s="588">
        <f>-584</f>
        <v>-584</v>
      </c>
    </row>
    <row r="36" spans="1:7" x14ac:dyDescent="0.2">
      <c r="A36" s="604" t="s">
        <v>1354</v>
      </c>
      <c r="B36" s="588">
        <f>-445</f>
        <v>-445</v>
      </c>
      <c r="C36" s="196"/>
      <c r="D36" s="588">
        <f>-42</f>
        <v>-42</v>
      </c>
    </row>
    <row r="37" spans="1:7" x14ac:dyDescent="0.2">
      <c r="A37" s="7" t="s">
        <v>1065</v>
      </c>
      <c r="B37" s="591">
        <f>SUM(B33:B36)</f>
        <v>3387</v>
      </c>
      <c r="C37" s="196"/>
      <c r="D37" s="591">
        <f>SUM(D33:D36)</f>
        <v>8520</v>
      </c>
    </row>
    <row r="38" spans="1:7" x14ac:dyDescent="0.2">
      <c r="A38" s="24"/>
      <c r="B38" s="581"/>
      <c r="C38" s="582"/>
      <c r="D38" s="581"/>
    </row>
    <row r="39" spans="1:7" x14ac:dyDescent="0.2">
      <c r="A39" s="3" t="s">
        <v>732</v>
      </c>
      <c r="B39" s="196"/>
      <c r="C39" s="196"/>
      <c r="D39" s="196"/>
    </row>
    <row r="40" spans="1:7" x14ac:dyDescent="0.2">
      <c r="A40" s="7" t="s">
        <v>103</v>
      </c>
      <c r="B40" s="588">
        <f>-194</f>
        <v>-194</v>
      </c>
      <c r="C40" s="196"/>
      <c r="D40" s="588">
        <f>-961</f>
        <v>-961</v>
      </c>
    </row>
    <row r="41" spans="1:7" x14ac:dyDescent="0.2">
      <c r="A41" s="7" t="s">
        <v>119</v>
      </c>
      <c r="B41" s="588">
        <v>180</v>
      </c>
      <c r="C41" s="196"/>
      <c r="D41" s="588">
        <v>449</v>
      </c>
    </row>
    <row r="42" spans="1:7" hidden="1" outlineLevel="1" x14ac:dyDescent="0.2">
      <c r="A42" s="7" t="s">
        <v>1346</v>
      </c>
      <c r="B42" s="588"/>
      <c r="C42" s="196"/>
      <c r="D42" s="588">
        <v>0</v>
      </c>
    </row>
    <row r="43" spans="1:7" collapsed="1" x14ac:dyDescent="0.2">
      <c r="A43" s="7" t="s">
        <v>676</v>
      </c>
      <c r="B43" s="588">
        <f>-18</f>
        <v>-18</v>
      </c>
      <c r="C43" s="196"/>
      <c r="D43" s="588">
        <f>-3</f>
        <v>-3</v>
      </c>
    </row>
    <row r="44" spans="1:7" s="7" customFormat="1" x14ac:dyDescent="0.2">
      <c r="A44" s="7" t="s">
        <v>663</v>
      </c>
      <c r="B44" s="588">
        <v>0</v>
      </c>
      <c r="C44" s="196"/>
      <c r="D44" s="588">
        <f>-7</f>
        <v>-7</v>
      </c>
      <c r="E44" s="26"/>
      <c r="F44" s="26"/>
      <c r="G44" s="26"/>
    </row>
    <row r="45" spans="1:7" x14ac:dyDescent="0.2">
      <c r="A45" s="3" t="s">
        <v>890</v>
      </c>
      <c r="B45" s="591">
        <f>SUM(B40:B44)</f>
        <v>-32</v>
      </c>
      <c r="C45" s="196"/>
      <c r="D45" s="591">
        <f>SUM(D40:D44)</f>
        <v>-522</v>
      </c>
    </row>
    <row r="46" spans="1:7" s="24" customFormat="1" x14ac:dyDescent="0.2">
      <c r="B46" s="582"/>
      <c r="C46" s="582"/>
      <c r="D46" s="582"/>
      <c r="E46"/>
      <c r="F46"/>
      <c r="G46"/>
    </row>
    <row r="47" spans="1:7" x14ac:dyDescent="0.2">
      <c r="A47" s="3" t="s">
        <v>733</v>
      </c>
      <c r="B47" s="196"/>
      <c r="C47" s="196"/>
      <c r="D47" s="196"/>
      <c r="E47" s="24"/>
      <c r="F47" s="24"/>
      <c r="G47" s="24"/>
    </row>
    <row r="48" spans="1:7" x14ac:dyDescent="0.2">
      <c r="A48" s="7" t="s">
        <v>734</v>
      </c>
      <c r="B48" s="588">
        <v>0</v>
      </c>
      <c r="C48" s="196"/>
      <c r="D48" s="588">
        <v>400</v>
      </c>
      <c r="E48" s="24"/>
      <c r="F48" s="24"/>
      <c r="G48" s="24"/>
    </row>
    <row r="49" spans="1:7" x14ac:dyDescent="0.2">
      <c r="A49" s="7" t="s">
        <v>891</v>
      </c>
      <c r="B49" s="588">
        <f>-1230</f>
        <v>-1230</v>
      </c>
      <c r="C49" s="196"/>
      <c r="D49" s="588">
        <f>-6709</f>
        <v>-6709</v>
      </c>
      <c r="E49" s="24"/>
      <c r="F49" s="24"/>
      <c r="G49" s="24"/>
    </row>
    <row r="50" spans="1:7" x14ac:dyDescent="0.2">
      <c r="A50" s="7" t="s">
        <v>735</v>
      </c>
      <c r="B50" s="588">
        <f>-61</f>
        <v>-61</v>
      </c>
      <c r="C50" s="196"/>
      <c r="D50" s="588">
        <f>-27</f>
        <v>-27</v>
      </c>
      <c r="E50" s="24"/>
      <c r="F50" s="24"/>
      <c r="G50" s="24"/>
    </row>
    <row r="51" spans="1:7" x14ac:dyDescent="0.2">
      <c r="A51" s="7" t="s">
        <v>101</v>
      </c>
      <c r="B51" s="588"/>
      <c r="C51" s="196"/>
      <c r="D51" s="588">
        <v>0</v>
      </c>
      <c r="E51" s="24"/>
      <c r="F51" s="24"/>
      <c r="G51" s="24"/>
    </row>
    <row r="52" spans="1:7" x14ac:dyDescent="0.2">
      <c r="A52" s="7" t="s">
        <v>1347</v>
      </c>
      <c r="B52" s="588"/>
      <c r="C52" s="196"/>
      <c r="D52" s="588">
        <v>0</v>
      </c>
      <c r="E52" s="24"/>
      <c r="F52" s="24"/>
      <c r="G52" s="24"/>
    </row>
    <row r="53" spans="1:7" x14ac:dyDescent="0.2">
      <c r="A53" s="7" t="s">
        <v>666</v>
      </c>
      <c r="B53" s="588">
        <v>30</v>
      </c>
      <c r="C53" s="196"/>
      <c r="D53" s="588">
        <f>-125</f>
        <v>-125</v>
      </c>
    </row>
    <row r="54" spans="1:7" ht="12.75" customHeight="1" x14ac:dyDescent="0.2">
      <c r="A54" s="3" t="s">
        <v>1066</v>
      </c>
      <c r="B54" s="591">
        <f>SUM(B48:B53)</f>
        <v>-1261</v>
      </c>
      <c r="C54" s="196"/>
      <c r="D54" s="591">
        <f>SUM(D48:D53)</f>
        <v>-6461</v>
      </c>
      <c r="E54" s="26"/>
      <c r="F54" s="26"/>
      <c r="G54" s="26"/>
    </row>
    <row r="55" spans="1:7" x14ac:dyDescent="0.2">
      <c r="A55" s="24"/>
      <c r="B55" s="592"/>
      <c r="C55" s="582"/>
      <c r="D55" s="592"/>
    </row>
    <row r="56" spans="1:7" x14ac:dyDescent="0.2">
      <c r="A56" s="7" t="s">
        <v>1067</v>
      </c>
      <c r="B56" s="588">
        <f>B37+B45+B54</f>
        <v>2094</v>
      </c>
      <c r="C56" s="196"/>
      <c r="D56" s="588">
        <f>D37+D45+D54</f>
        <v>1537</v>
      </c>
    </row>
    <row r="57" spans="1:7" x14ac:dyDescent="0.2">
      <c r="A57" s="24"/>
      <c r="B57" s="340"/>
      <c r="C57" s="582"/>
      <c r="D57" s="340"/>
    </row>
    <row r="58" spans="1:7" x14ac:dyDescent="0.2">
      <c r="A58" s="7" t="s">
        <v>129</v>
      </c>
      <c r="B58" s="588">
        <f>-12586</f>
        <v>-12586</v>
      </c>
      <c r="C58" s="196"/>
      <c r="D58" s="588">
        <f>-12862</f>
        <v>-12862</v>
      </c>
    </row>
    <row r="59" spans="1:7" x14ac:dyDescent="0.2">
      <c r="A59" s="24"/>
      <c r="B59" s="340"/>
      <c r="C59" s="582"/>
      <c r="D59" s="340"/>
    </row>
    <row r="60" spans="1:7" x14ac:dyDescent="0.2">
      <c r="A60" s="7" t="s">
        <v>130</v>
      </c>
      <c r="B60" s="590">
        <f>B56+B58</f>
        <v>-10492</v>
      </c>
      <c r="C60" s="196"/>
      <c r="D60" s="590">
        <f>D56+D58</f>
        <v>-11325</v>
      </c>
    </row>
    <row r="61" spans="1:7" x14ac:dyDescent="0.2">
      <c r="A61" s="24"/>
      <c r="B61" s="24"/>
      <c r="C61" s="325"/>
      <c r="D61" s="325"/>
    </row>
    <row r="62" spans="1:7" x14ac:dyDescent="0.2">
      <c r="A62" s="7" t="s">
        <v>109</v>
      </c>
      <c r="B62" s="593"/>
      <c r="C62" s="242"/>
      <c r="D62" s="242"/>
    </row>
    <row r="63" spans="1:7" x14ac:dyDescent="0.2">
      <c r="A63" s="24"/>
      <c r="B63" s="341"/>
      <c r="C63" s="583"/>
      <c r="D63" s="583"/>
    </row>
    <row r="64" spans="1:7" x14ac:dyDescent="0.2">
      <c r="B64" s="342" t="s">
        <v>108</v>
      </c>
      <c r="C64" s="584"/>
      <c r="D64" s="342" t="s">
        <v>108</v>
      </c>
    </row>
    <row r="65" spans="1:5" x14ac:dyDescent="0.2">
      <c r="B65" s="88" t="s">
        <v>1304</v>
      </c>
      <c r="C65" s="195"/>
      <c r="D65" s="596" t="s">
        <v>1009</v>
      </c>
    </row>
    <row r="66" spans="1:5" x14ac:dyDescent="0.2">
      <c r="B66" s="587" t="s">
        <v>1</v>
      </c>
      <c r="C66" s="584"/>
      <c r="D66" s="596" t="s">
        <v>1</v>
      </c>
    </row>
    <row r="67" spans="1:5" x14ac:dyDescent="0.2">
      <c r="A67" s="24"/>
      <c r="B67" s="341"/>
      <c r="C67" s="583"/>
      <c r="D67" s="341"/>
    </row>
    <row r="68" spans="1:5" x14ac:dyDescent="0.2">
      <c r="A68" s="7" t="s">
        <v>16</v>
      </c>
      <c r="B68" s="590">
        <v>2474</v>
      </c>
      <c r="C68" s="324"/>
      <c r="D68" s="590">
        <v>1262</v>
      </c>
      <c r="E68" s="324"/>
    </row>
    <row r="69" spans="1:5" x14ac:dyDescent="0.2">
      <c r="A69" s="7" t="s">
        <v>666</v>
      </c>
      <c r="B69" s="590">
        <v>7487</v>
      </c>
      <c r="C69" s="324"/>
      <c r="D69" s="590">
        <v>7105</v>
      </c>
      <c r="E69" s="324"/>
    </row>
    <row r="70" spans="1:5" x14ac:dyDescent="0.2">
      <c r="A70" s="7" t="s">
        <v>508</v>
      </c>
      <c r="B70" s="589">
        <f>-12966</f>
        <v>-12966</v>
      </c>
      <c r="C70" s="324"/>
      <c r="D70" s="589">
        <f>-12630</f>
        <v>-12630</v>
      </c>
      <c r="E70" s="324"/>
    </row>
    <row r="71" spans="1:5" x14ac:dyDescent="0.2">
      <c r="B71" s="590">
        <f>SUM(B68:B70)</f>
        <v>-3005</v>
      </c>
      <c r="C71" s="324"/>
      <c r="D71" s="590">
        <f>SUM(D68:D70)</f>
        <v>-4263</v>
      </c>
      <c r="E71" s="324"/>
    </row>
    <row r="72" spans="1:5" x14ac:dyDescent="0.2">
      <c r="A72" s="7" t="s">
        <v>711</v>
      </c>
      <c r="B72" s="590">
        <f>-7487</f>
        <v>-7487</v>
      </c>
      <c r="C72" s="324"/>
      <c r="D72" s="590">
        <f>-7105</f>
        <v>-7105</v>
      </c>
      <c r="E72" s="324"/>
    </row>
    <row r="73" spans="1:5" x14ac:dyDescent="0.2">
      <c r="A73" s="7" t="s">
        <v>437</v>
      </c>
      <c r="B73" s="594">
        <v>0</v>
      </c>
      <c r="C73" s="378"/>
      <c r="D73" s="605">
        <v>43</v>
      </c>
      <c r="E73" s="585"/>
    </row>
    <row r="74" spans="1:5" ht="13.5" thickBot="1" x14ac:dyDescent="0.25">
      <c r="B74" s="595">
        <f>SUM(B71:B73)</f>
        <v>-10492</v>
      </c>
      <c r="C74" s="378"/>
      <c r="D74" s="595">
        <f>SUM(D71:D73)</f>
        <v>-11325</v>
      </c>
      <c r="E74" s="586"/>
    </row>
    <row r="75" spans="1:5" ht="13.5" thickTop="1" x14ac:dyDescent="0.2">
      <c r="B75" s="327"/>
      <c r="C75" s="327"/>
      <c r="D75" s="328"/>
    </row>
    <row r="76" spans="1:5" s="7" customFormat="1" x14ac:dyDescent="0.2">
      <c r="A76" s="614" t="s">
        <v>1344</v>
      </c>
      <c r="B76" s="614"/>
      <c r="C76" s="614"/>
      <c r="D76" s="614"/>
    </row>
    <row r="77" spans="1:5" s="7" customFormat="1" x14ac:dyDescent="0.2">
      <c r="A77" s="614"/>
      <c r="B77" s="614"/>
      <c r="C77" s="614"/>
      <c r="D77" s="614"/>
    </row>
    <row r="78" spans="1:5" x14ac:dyDescent="0.2">
      <c r="A78" s="99"/>
      <c r="B78" s="99"/>
      <c r="C78" s="99"/>
      <c r="D78" s="99"/>
    </row>
  </sheetData>
  <mergeCells count="5">
    <mergeCell ref="A76:D77"/>
    <mergeCell ref="A4:D4"/>
    <mergeCell ref="A1:D1"/>
    <mergeCell ref="A2:D2"/>
    <mergeCell ref="A5:D5"/>
  </mergeCells>
  <phoneticPr fontId="7" type="noConversion"/>
  <printOptions horizontalCentered="1"/>
  <pageMargins left="0.98425196850393704" right="0" top="0.23622047244094491" bottom="0" header="0.51181102362204722" footer="0.51181102362204722"/>
  <pageSetup paperSize="9"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217"/>
  <sheetViews>
    <sheetView topLeftCell="A28" workbookViewId="0">
      <selection sqref="A1:AP1"/>
    </sheetView>
  </sheetViews>
  <sheetFormatPr defaultRowHeight="11.25" x14ac:dyDescent="0.2"/>
  <cols>
    <col min="1" max="1" width="36.140625" style="501" customWidth="1"/>
    <col min="2" max="2" width="10.7109375" style="496" bestFit="1" customWidth="1"/>
    <col min="3" max="3" width="11.28515625" style="495" bestFit="1" customWidth="1"/>
    <col min="4" max="5" width="10.42578125" style="495" bestFit="1" customWidth="1"/>
    <col min="6" max="6" width="5" style="497" customWidth="1"/>
    <col min="7" max="8" width="10.42578125" style="495" bestFit="1" customWidth="1"/>
    <col min="9" max="9" width="3" style="495" bestFit="1" customWidth="1"/>
    <col min="10" max="10" width="48" style="503" bestFit="1" customWidth="1"/>
    <col min="11" max="11" width="10.42578125" style="495" bestFit="1" customWidth="1"/>
    <col min="12" max="12" width="10.42578125" style="500" bestFit="1" customWidth="1"/>
    <col min="13" max="13" width="9.140625" style="495"/>
    <col min="14" max="14" width="3" style="495" bestFit="1" customWidth="1"/>
    <col min="15" max="16384" width="9.140625" style="495"/>
  </cols>
  <sheetData>
    <row r="1" spans="1:14" x14ac:dyDescent="0.2">
      <c r="A1" s="495"/>
      <c r="B1" s="496">
        <f>B216</f>
        <v>0</v>
      </c>
      <c r="C1" s="495">
        <f>C216</f>
        <v>0</v>
      </c>
      <c r="D1" s="495">
        <f>D215-E215</f>
        <v>0</v>
      </c>
      <c r="G1" s="495">
        <f>G215-H215</f>
        <v>0</v>
      </c>
      <c r="J1" s="498" t="s">
        <v>281</v>
      </c>
      <c r="K1" s="495">
        <f>K106</f>
        <v>-653166</v>
      </c>
      <c r="L1" s="495">
        <f>L106</f>
        <v>-207253</v>
      </c>
      <c r="M1" s="495">
        <f>M106</f>
        <v>0</v>
      </c>
    </row>
    <row r="2" spans="1:14" x14ac:dyDescent="0.2">
      <c r="A2" s="495"/>
      <c r="B2" s="499" t="s">
        <v>303</v>
      </c>
      <c r="D2" s="631" t="s">
        <v>280</v>
      </c>
      <c r="E2" s="631"/>
      <c r="G2" s="632" t="s">
        <v>26</v>
      </c>
      <c r="H2" s="632"/>
      <c r="J2" s="498" t="s">
        <v>1108</v>
      </c>
      <c r="K2" s="495">
        <f>K6-K9</f>
        <v>0</v>
      </c>
    </row>
    <row r="3" spans="1:14" x14ac:dyDescent="0.2">
      <c r="B3" s="544" t="s">
        <v>1076</v>
      </c>
      <c r="C3" s="499" t="s">
        <v>1304</v>
      </c>
      <c r="D3" s="502" t="s">
        <v>158</v>
      </c>
      <c r="E3" s="502" t="s">
        <v>159</v>
      </c>
      <c r="G3" s="497" t="s">
        <v>158</v>
      </c>
      <c r="H3" s="497" t="s">
        <v>159</v>
      </c>
    </row>
    <row r="4" spans="1:14" x14ac:dyDescent="0.2">
      <c r="B4" s="499"/>
      <c r="K4" s="497"/>
      <c r="L4" s="504"/>
    </row>
    <row r="5" spans="1:14" x14ac:dyDescent="0.2">
      <c r="A5" s="505"/>
    </row>
    <row r="6" spans="1:14" x14ac:dyDescent="0.2">
      <c r="A6" s="506" t="s">
        <v>33</v>
      </c>
      <c r="C6" s="508"/>
      <c r="J6" s="509" t="s">
        <v>658</v>
      </c>
      <c r="K6" s="495">
        <f>'C-IS'!V30</f>
        <v>-2250393</v>
      </c>
      <c r="L6" s="510" t="s">
        <v>303</v>
      </c>
    </row>
    <row r="7" spans="1:14" x14ac:dyDescent="0.2">
      <c r="A7" s="506" t="s">
        <v>42</v>
      </c>
      <c r="C7" s="508"/>
      <c r="K7" s="497" t="s">
        <v>1076</v>
      </c>
      <c r="L7" s="510" t="s">
        <v>921</v>
      </c>
    </row>
    <row r="8" spans="1:14" x14ac:dyDescent="0.2">
      <c r="A8" s="501" t="s">
        <v>8</v>
      </c>
      <c r="B8" s="496">
        <v>60439856</v>
      </c>
      <c r="C8" s="495">
        <f>'C-BS'!T8+'C-BS'!T25</f>
        <v>59731653</v>
      </c>
      <c r="E8" s="597">
        <f>B8-C8</f>
        <v>708203</v>
      </c>
      <c r="F8" s="599"/>
      <c r="G8" s="600">
        <f>E8-G9+H9-G10+H10-G11+H11-G12+H12-G14+H14-G15+H15-G16+H16-G18+H18-G19+H19-G20+H20-G22+H22-G23+H23-G24+H24-G25+H25-G26+H26-G27+H27-G28+H28-G29+H29-G30+H30-G31+H31-G33+H33-G13+H13-G32+H32-G17+H17-G21+H21-G34+H34-G35+H35-G36+H36-G37+H37-G38+H38-G39+H39-G40+H40</f>
        <v>-356152</v>
      </c>
      <c r="H8" s="597"/>
      <c r="J8" s="498" t="s">
        <v>97</v>
      </c>
    </row>
    <row r="9" spans="1:14" x14ac:dyDescent="0.2">
      <c r="A9" s="512"/>
      <c r="B9" s="545"/>
      <c r="C9" s="514"/>
      <c r="F9" s="515" t="s">
        <v>327</v>
      </c>
      <c r="G9" s="601">
        <f>'CF adjs'!D11</f>
        <v>442595</v>
      </c>
      <c r="H9" s="597"/>
      <c r="I9" s="516" t="s">
        <v>412</v>
      </c>
      <c r="J9" s="503" t="s">
        <v>137</v>
      </c>
      <c r="K9" s="517">
        <f>G135</f>
        <v>-2250393</v>
      </c>
      <c r="L9" s="504">
        <f>-11820046</f>
        <v>-11820046</v>
      </c>
      <c r="M9" s="518">
        <f>-6780-367-3738+135-760+379-96</f>
        <v>-11227</v>
      </c>
    </row>
    <row r="10" spans="1:14" x14ac:dyDescent="0.2">
      <c r="A10" s="512"/>
      <c r="B10" s="545"/>
      <c r="C10" s="514"/>
      <c r="F10" s="515" t="s">
        <v>328</v>
      </c>
      <c r="G10" s="601">
        <f>'CF adjs'!D18</f>
        <v>70580</v>
      </c>
      <c r="H10" s="597"/>
      <c r="I10" s="516" t="s">
        <v>412</v>
      </c>
      <c r="J10" s="503" t="s">
        <v>282</v>
      </c>
    </row>
    <row r="11" spans="1:14" x14ac:dyDescent="0.2">
      <c r="A11" s="503"/>
      <c r="C11" s="508"/>
      <c r="F11" s="515" t="s">
        <v>329</v>
      </c>
      <c r="G11" s="602"/>
      <c r="H11" s="601">
        <f>'CF adjs'!E24</f>
        <v>193443</v>
      </c>
      <c r="I11" s="516" t="s">
        <v>412</v>
      </c>
      <c r="J11" s="495" t="s">
        <v>283</v>
      </c>
      <c r="K11" s="519">
        <f>'CF adjs'!E8</f>
        <v>15775</v>
      </c>
      <c r="L11" s="500">
        <v>164442</v>
      </c>
      <c r="M11" s="495">
        <v>9</v>
      </c>
      <c r="N11" s="516" t="s">
        <v>412</v>
      </c>
    </row>
    <row r="12" spans="1:14" x14ac:dyDescent="0.2">
      <c r="A12" s="503"/>
      <c r="C12" s="508"/>
      <c r="F12" s="497" t="s">
        <v>330</v>
      </c>
      <c r="G12" s="600">
        <f>'CF adjs'!D27</f>
        <v>0</v>
      </c>
      <c r="H12" s="600"/>
      <c r="J12" s="495" t="s">
        <v>876</v>
      </c>
      <c r="K12" s="519">
        <f>'CF adjs'!E49</f>
        <v>0</v>
      </c>
      <c r="L12" s="500">
        <v>0</v>
      </c>
      <c r="M12" s="495">
        <v>1</v>
      </c>
      <c r="N12" s="516" t="s">
        <v>412</v>
      </c>
    </row>
    <row r="13" spans="1:14" x14ac:dyDescent="0.2">
      <c r="A13" s="503"/>
      <c r="C13" s="508"/>
      <c r="F13" s="497" t="s">
        <v>330</v>
      </c>
      <c r="G13" s="600">
        <f>'CF adjs'!D28</f>
        <v>0</v>
      </c>
      <c r="H13" s="600"/>
      <c r="J13" s="495" t="s">
        <v>877</v>
      </c>
      <c r="K13" s="519">
        <v>0</v>
      </c>
      <c r="L13" s="500">
        <v>0</v>
      </c>
      <c r="M13" s="495">
        <v>0</v>
      </c>
      <c r="N13" s="516" t="s">
        <v>412</v>
      </c>
    </row>
    <row r="14" spans="1:14" hidden="1" x14ac:dyDescent="0.2">
      <c r="A14" s="503"/>
      <c r="C14" s="508"/>
      <c r="F14" s="515" t="s">
        <v>331</v>
      </c>
      <c r="G14" s="601">
        <f>'CF adjs'!D34</f>
        <v>0</v>
      </c>
      <c r="H14" s="597"/>
      <c r="I14" s="516" t="s">
        <v>412</v>
      </c>
      <c r="J14" s="495" t="s">
        <v>878</v>
      </c>
      <c r="K14" s="504">
        <f>'CF adjs'!E307</f>
        <v>0</v>
      </c>
      <c r="L14" s="500">
        <v>0</v>
      </c>
      <c r="M14" s="495">
        <v>0</v>
      </c>
    </row>
    <row r="15" spans="1:14" hidden="1" x14ac:dyDescent="0.2">
      <c r="A15" s="503"/>
      <c r="C15" s="508"/>
      <c r="F15" s="515" t="s">
        <v>331</v>
      </c>
      <c r="G15" s="601">
        <f>'CF adjs'!D35</f>
        <v>356151</v>
      </c>
      <c r="H15" s="600"/>
      <c r="I15" s="516" t="s">
        <v>412</v>
      </c>
      <c r="J15" s="495" t="s">
        <v>470</v>
      </c>
      <c r="K15" s="500">
        <f>'CF adjs'!E237</f>
        <v>0</v>
      </c>
      <c r="L15" s="500">
        <v>0</v>
      </c>
    </row>
    <row r="16" spans="1:14" x14ac:dyDescent="0.2">
      <c r="A16" s="503"/>
      <c r="C16" s="508"/>
      <c r="F16" s="515" t="s">
        <v>331</v>
      </c>
      <c r="G16" s="601">
        <f>'CF adjs'!D36</f>
        <v>0</v>
      </c>
      <c r="H16" s="600"/>
      <c r="I16" s="516" t="s">
        <v>412</v>
      </c>
      <c r="J16" s="495" t="s">
        <v>1144</v>
      </c>
      <c r="K16" s="519">
        <f>'CF adjs'!E369</f>
        <v>0</v>
      </c>
      <c r="L16" s="500">
        <v>457703</v>
      </c>
      <c r="M16" s="495">
        <v>367</v>
      </c>
      <c r="N16" s="516" t="s">
        <v>412</v>
      </c>
    </row>
    <row r="17" spans="1:14" hidden="1" x14ac:dyDescent="0.2">
      <c r="A17" s="503"/>
      <c r="C17" s="508"/>
      <c r="F17" s="515" t="s">
        <v>331</v>
      </c>
      <c r="G17" s="601">
        <f>'CF adjs'!D39</f>
        <v>0</v>
      </c>
      <c r="H17" s="600"/>
      <c r="I17" s="516" t="s">
        <v>412</v>
      </c>
      <c r="J17" s="495" t="s">
        <v>659</v>
      </c>
      <c r="K17" s="504">
        <f>'CF adjs'!E155</f>
        <v>0</v>
      </c>
      <c r="L17" s="500">
        <v>0</v>
      </c>
      <c r="M17" s="495">
        <v>0</v>
      </c>
    </row>
    <row r="18" spans="1:14" x14ac:dyDescent="0.2">
      <c r="A18" s="503"/>
      <c r="C18" s="508"/>
      <c r="F18" s="515" t="s">
        <v>331</v>
      </c>
      <c r="G18" s="601">
        <f>'CF adjs'!$D$35</f>
        <v>356151</v>
      </c>
      <c r="H18" s="601">
        <f>'CF adjs'!E61</f>
        <v>0</v>
      </c>
      <c r="I18" s="516" t="s">
        <v>412</v>
      </c>
      <c r="J18" s="495" t="s">
        <v>660</v>
      </c>
      <c r="K18" s="519">
        <f>-'CF adjs'!D44-'CF adjs'!D45-'CF adjs'!D46-'CF adjs'!D47+'CF adjs'!E53</f>
        <v>0</v>
      </c>
      <c r="L18" s="500">
        <f>-95653</f>
        <v>-95653</v>
      </c>
      <c r="M18" s="495">
        <v>-96</v>
      </c>
      <c r="N18" s="516" t="s">
        <v>412</v>
      </c>
    </row>
    <row r="19" spans="1:14" x14ac:dyDescent="0.2">
      <c r="A19" s="503"/>
      <c r="C19" s="508"/>
      <c r="F19" s="515" t="s">
        <v>331</v>
      </c>
      <c r="G19" s="601"/>
      <c r="H19" s="601">
        <f>'CF adjs'!E62</f>
        <v>176304</v>
      </c>
      <c r="I19" s="516" t="s">
        <v>412</v>
      </c>
      <c r="J19" s="495" t="s">
        <v>285</v>
      </c>
      <c r="K19" s="519">
        <f>'CF adjs'!E12+'CF adjs'!E13+'CF adjs'!E387+'CF adjs'!E395</f>
        <v>442595</v>
      </c>
      <c r="L19" s="500">
        <v>5608097</v>
      </c>
      <c r="M19" s="495">
        <f>1886+3738+96</f>
        <v>5720</v>
      </c>
      <c r="N19" s="516" t="s">
        <v>412</v>
      </c>
    </row>
    <row r="20" spans="1:14" hidden="1" x14ac:dyDescent="0.2">
      <c r="A20" s="503"/>
      <c r="C20" s="508"/>
      <c r="F20" s="515" t="s">
        <v>331</v>
      </c>
      <c r="G20" s="601"/>
      <c r="H20" s="601">
        <f>'CF adjs'!E63</f>
        <v>0</v>
      </c>
      <c r="I20" s="516" t="s">
        <v>412</v>
      </c>
      <c r="J20" s="495" t="s">
        <v>284</v>
      </c>
      <c r="K20" s="504">
        <v>0</v>
      </c>
      <c r="L20" s="500">
        <v>0</v>
      </c>
      <c r="M20" s="495">
        <v>0</v>
      </c>
      <c r="N20" s="517"/>
    </row>
    <row r="21" spans="1:14" hidden="1" x14ac:dyDescent="0.2">
      <c r="A21" s="503"/>
      <c r="C21" s="508"/>
      <c r="F21" s="515" t="s">
        <v>331</v>
      </c>
      <c r="G21" s="601"/>
      <c r="H21" s="601">
        <f>'CF adjs'!E66</f>
        <v>0</v>
      </c>
      <c r="I21" s="516" t="s">
        <v>412</v>
      </c>
      <c r="J21" s="495" t="s">
        <v>427</v>
      </c>
      <c r="K21" s="500">
        <f>'CF adjs'!E241+'CF adjs'!E245+'CF adjs'!E255</f>
        <v>0</v>
      </c>
      <c r="L21" s="500">
        <v>0</v>
      </c>
      <c r="M21" s="495">
        <v>0</v>
      </c>
    </row>
    <row r="22" spans="1:14" hidden="1" x14ac:dyDescent="0.2">
      <c r="A22" s="503"/>
      <c r="C22" s="508"/>
      <c r="F22" s="515" t="s">
        <v>331</v>
      </c>
      <c r="G22" s="601">
        <f>'CF adjs'!D37</f>
        <v>0</v>
      </c>
      <c r="H22" s="600">
        <f>'CF adjs'!E69</f>
        <v>0</v>
      </c>
      <c r="I22" s="516" t="s">
        <v>412</v>
      </c>
      <c r="J22" s="495" t="s">
        <v>286</v>
      </c>
      <c r="K22" s="500">
        <v>0</v>
      </c>
      <c r="L22" s="500">
        <v>0</v>
      </c>
      <c r="M22" s="495">
        <v>0</v>
      </c>
    </row>
    <row r="23" spans="1:14" x14ac:dyDescent="0.2">
      <c r="A23" s="503"/>
      <c r="C23" s="508"/>
      <c r="F23" s="515" t="s">
        <v>331</v>
      </c>
      <c r="G23" s="601">
        <f>'CF adjs'!D32</f>
        <v>208625</v>
      </c>
      <c r="H23" s="600"/>
      <c r="I23" s="516" t="s">
        <v>412</v>
      </c>
      <c r="J23" s="495" t="s">
        <v>287</v>
      </c>
      <c r="K23" s="519">
        <f>'CF adjs'!E107</f>
        <v>582437</v>
      </c>
      <c r="L23" s="500">
        <v>2391337</v>
      </c>
      <c r="M23" s="495">
        <v>2160</v>
      </c>
      <c r="N23" s="516" t="s">
        <v>412</v>
      </c>
    </row>
    <row r="24" spans="1:14" x14ac:dyDescent="0.2">
      <c r="A24" s="503"/>
      <c r="C24" s="508"/>
      <c r="F24" s="515" t="s">
        <v>331</v>
      </c>
      <c r="G24" s="516">
        <f>'CF adjs'!D41</f>
        <v>0</v>
      </c>
      <c r="H24" s="517"/>
      <c r="I24" s="516" t="s">
        <v>412</v>
      </c>
      <c r="J24" s="495" t="s">
        <v>288</v>
      </c>
      <c r="K24" s="519">
        <f>-'CF adjs'!D167</f>
        <v>-58399</v>
      </c>
      <c r="L24" s="500">
        <f>-272467</f>
        <v>-272467</v>
      </c>
      <c r="M24" s="495">
        <v>-242</v>
      </c>
      <c r="N24" s="516" t="s">
        <v>412</v>
      </c>
    </row>
    <row r="25" spans="1:14" hidden="1" x14ac:dyDescent="0.2">
      <c r="A25" s="503"/>
      <c r="C25" s="508"/>
      <c r="F25" s="497" t="s">
        <v>331</v>
      </c>
      <c r="G25" s="517">
        <f>'CF adjs'!D42</f>
        <v>0</v>
      </c>
      <c r="H25" s="517"/>
      <c r="J25" s="495" t="s">
        <v>289</v>
      </c>
      <c r="K25" s="504">
        <f>-'CF adjs'!D228</f>
        <v>0</v>
      </c>
      <c r="L25" s="500">
        <v>0</v>
      </c>
      <c r="M25" s="495">
        <v>0</v>
      </c>
    </row>
    <row r="26" spans="1:14" hidden="1" x14ac:dyDescent="0.2">
      <c r="A26" s="503"/>
      <c r="C26" s="508"/>
      <c r="F26" s="497" t="s">
        <v>331</v>
      </c>
      <c r="G26" s="517">
        <f>'CF adjs'!D43</f>
        <v>0</v>
      </c>
      <c r="H26" s="517"/>
      <c r="J26" s="495" t="s">
        <v>599</v>
      </c>
      <c r="K26" s="504">
        <f>-'CF adjs'!D159</f>
        <v>0</v>
      </c>
      <c r="L26" s="500">
        <v>0</v>
      </c>
      <c r="M26" s="495">
        <v>0</v>
      </c>
    </row>
    <row r="27" spans="1:14" hidden="1" x14ac:dyDescent="0.2">
      <c r="A27" s="503"/>
      <c r="C27" s="508"/>
      <c r="F27" s="515" t="s">
        <v>331</v>
      </c>
      <c r="G27" s="516"/>
      <c r="H27" s="516">
        <f>'CF adjs'!E64</f>
        <v>0</v>
      </c>
      <c r="I27" s="516" t="s">
        <v>412</v>
      </c>
      <c r="J27" s="495" t="s">
        <v>471</v>
      </c>
      <c r="K27" s="504">
        <f>'CF adjs'!E350</f>
        <v>0</v>
      </c>
      <c r="L27" s="500">
        <v>0</v>
      </c>
      <c r="M27" s="495">
        <v>0</v>
      </c>
    </row>
    <row r="28" spans="1:14" x14ac:dyDescent="0.2">
      <c r="A28" s="503"/>
      <c r="C28" s="508"/>
      <c r="F28" s="515" t="s">
        <v>331</v>
      </c>
      <c r="G28" s="516"/>
      <c r="H28" s="516">
        <f>'CF adjs'!E68</f>
        <v>0</v>
      </c>
      <c r="I28" s="516" t="s">
        <v>412</v>
      </c>
      <c r="J28" s="495" t="s">
        <v>661</v>
      </c>
      <c r="K28" s="519">
        <f>'CF adjs'!E373+'CF adjs'!E374+'CF adjs'!E375+'CF adjs'!E391</f>
        <v>0</v>
      </c>
      <c r="L28" s="500">
        <v>1868164</v>
      </c>
      <c r="M28" s="495">
        <f>669+760</f>
        <v>1429</v>
      </c>
      <c r="N28" s="516" t="s">
        <v>412</v>
      </c>
    </row>
    <row r="29" spans="1:14" x14ac:dyDescent="0.2">
      <c r="A29" s="503"/>
      <c r="C29" s="508"/>
      <c r="F29" s="497" t="s">
        <v>331</v>
      </c>
      <c r="G29" s="517"/>
      <c r="H29" s="517">
        <v>0</v>
      </c>
      <c r="J29" s="50" t="s">
        <v>1351</v>
      </c>
      <c r="K29" s="519"/>
      <c r="L29" s="500">
        <f>-2220</f>
        <v>-2220</v>
      </c>
      <c r="N29" s="516"/>
    </row>
    <row r="30" spans="1:14" x14ac:dyDescent="0.2">
      <c r="A30" s="503"/>
      <c r="C30" s="508"/>
      <c r="F30" s="497" t="s">
        <v>331</v>
      </c>
      <c r="G30" s="517"/>
      <c r="H30" s="517">
        <f>'CF adjs'!E70</f>
        <v>0</v>
      </c>
      <c r="J30" s="495" t="s">
        <v>1011</v>
      </c>
      <c r="K30" s="519">
        <f>'CF adjs'!E378+'CF adjs'!E379</f>
        <v>0</v>
      </c>
      <c r="L30" s="500">
        <v>151500</v>
      </c>
      <c r="M30" s="495">
        <v>284</v>
      </c>
      <c r="N30" s="516" t="s">
        <v>412</v>
      </c>
    </row>
    <row r="31" spans="1:14" x14ac:dyDescent="0.2">
      <c r="A31" s="503"/>
      <c r="C31" s="508"/>
      <c r="F31" s="497" t="s">
        <v>331</v>
      </c>
      <c r="G31" s="517"/>
      <c r="H31" s="517">
        <f>'CF adjs'!E71</f>
        <v>0</v>
      </c>
      <c r="J31" s="495"/>
      <c r="K31" s="504"/>
    </row>
    <row r="32" spans="1:14" x14ac:dyDescent="0.2">
      <c r="A32" s="503"/>
      <c r="C32" s="508"/>
      <c r="F32" s="497" t="s">
        <v>331</v>
      </c>
      <c r="G32" s="517"/>
      <c r="H32" s="517">
        <f>'CF adjs'!E48</f>
        <v>0</v>
      </c>
      <c r="J32" s="495" t="s">
        <v>524</v>
      </c>
      <c r="K32" s="504">
        <v>0</v>
      </c>
      <c r="L32" s="500">
        <v>0</v>
      </c>
      <c r="M32" s="495">
        <v>0</v>
      </c>
    </row>
    <row r="33" spans="1:14" x14ac:dyDescent="0.2">
      <c r="A33" s="503"/>
      <c r="C33" s="508"/>
      <c r="F33" s="515" t="s">
        <v>1092</v>
      </c>
      <c r="G33" s="516"/>
      <c r="H33" s="516">
        <f>'CF adjs'!E356</f>
        <v>0</v>
      </c>
      <c r="I33" s="516" t="s">
        <v>412</v>
      </c>
      <c r="J33" s="495" t="s">
        <v>444</v>
      </c>
      <c r="K33" s="504">
        <f>'CF adjs'!E270</f>
        <v>0</v>
      </c>
      <c r="L33" s="500">
        <v>0</v>
      </c>
      <c r="M33" s="495">
        <v>0</v>
      </c>
    </row>
    <row r="34" spans="1:14" x14ac:dyDescent="0.2">
      <c r="A34" s="503"/>
      <c r="C34" s="508"/>
      <c r="F34" s="515" t="s">
        <v>1092</v>
      </c>
      <c r="G34" s="516"/>
      <c r="H34" s="516">
        <f>'CF adjs'!E360</f>
        <v>0</v>
      </c>
      <c r="I34" s="516" t="s">
        <v>412</v>
      </c>
      <c r="J34" s="495" t="s">
        <v>472</v>
      </c>
      <c r="K34" s="504">
        <f>'CF adjs'!E173</f>
        <v>0</v>
      </c>
      <c r="L34" s="500">
        <v>0</v>
      </c>
      <c r="M34" s="495">
        <v>0</v>
      </c>
    </row>
    <row r="35" spans="1:14" x14ac:dyDescent="0.2">
      <c r="A35" s="503"/>
      <c r="C35" s="508"/>
      <c r="F35" s="515" t="s">
        <v>1175</v>
      </c>
      <c r="G35" s="516">
        <f>'CF adjs'!D384</f>
        <v>0</v>
      </c>
      <c r="H35" s="516"/>
      <c r="I35" s="516" t="s">
        <v>412</v>
      </c>
      <c r="K35" s="520"/>
      <c r="L35" s="520"/>
      <c r="M35" s="521"/>
    </row>
    <row r="36" spans="1:14" x14ac:dyDescent="0.2">
      <c r="A36" s="503"/>
      <c r="C36" s="508"/>
      <c r="F36" s="515" t="s">
        <v>1175</v>
      </c>
      <c r="G36" s="516"/>
      <c r="H36" s="516">
        <f>'CF adjs'!E385</f>
        <v>0</v>
      </c>
      <c r="I36" s="516" t="s">
        <v>412</v>
      </c>
      <c r="J36" s="503" t="s">
        <v>138</v>
      </c>
      <c r="K36" s="500">
        <f>SUM(K9:K35)</f>
        <v>-1267985</v>
      </c>
      <c r="L36" s="500">
        <f>SUM(L9:L35)</f>
        <v>-1549143</v>
      </c>
      <c r="M36" s="500">
        <f>SUM(M9:M35)</f>
        <v>-1595</v>
      </c>
    </row>
    <row r="37" spans="1:14" x14ac:dyDescent="0.2">
      <c r="A37" s="503"/>
      <c r="C37" s="508"/>
      <c r="F37" s="515" t="s">
        <v>1175</v>
      </c>
      <c r="G37" s="516"/>
      <c r="H37" s="516">
        <f>'CF adjs'!E386</f>
        <v>0</v>
      </c>
      <c r="I37" s="516" t="s">
        <v>412</v>
      </c>
      <c r="K37" s="500"/>
    </row>
    <row r="38" spans="1:14" x14ac:dyDescent="0.2">
      <c r="A38" s="503"/>
      <c r="C38" s="508"/>
      <c r="F38" s="515" t="s">
        <v>1210</v>
      </c>
      <c r="G38" s="516">
        <f>'CF adjs'!D394</f>
        <v>0</v>
      </c>
      <c r="H38" s="516"/>
      <c r="I38" s="516"/>
      <c r="J38" s="495" t="s">
        <v>1012</v>
      </c>
      <c r="K38" s="522">
        <f>-H104</f>
        <v>-4704</v>
      </c>
      <c r="L38" s="500">
        <v>31143128</v>
      </c>
      <c r="M38" s="518">
        <v>28666</v>
      </c>
      <c r="N38" s="495">
        <v>1</v>
      </c>
    </row>
    <row r="39" spans="1:14" x14ac:dyDescent="0.2">
      <c r="A39" s="503"/>
      <c r="C39" s="508"/>
      <c r="F39" s="515" t="s">
        <v>1212</v>
      </c>
      <c r="G39" s="516">
        <f>'CF adjs'!D398</f>
        <v>0</v>
      </c>
      <c r="H39" s="516"/>
      <c r="I39" s="516"/>
      <c r="J39" s="495" t="s">
        <v>290</v>
      </c>
      <c r="K39" s="522">
        <f>G70</f>
        <v>3210265</v>
      </c>
      <c r="L39" s="500">
        <f>-25703644</f>
        <v>-25703644</v>
      </c>
      <c r="M39" s="495">
        <f>-23405-284</f>
        <v>-23689</v>
      </c>
      <c r="N39" s="495">
        <v>2</v>
      </c>
    </row>
    <row r="40" spans="1:14" x14ac:dyDescent="0.2">
      <c r="A40" s="503"/>
      <c r="C40" s="508"/>
      <c r="F40" s="515" t="s">
        <v>1213</v>
      </c>
      <c r="G40" s="516">
        <f>'CF adjs'!D402</f>
        <v>0</v>
      </c>
      <c r="H40" s="516"/>
      <c r="I40" s="516"/>
      <c r="J40" s="495" t="s">
        <v>1013</v>
      </c>
      <c r="K40" s="522">
        <f>-H74</f>
        <v>6165820</v>
      </c>
      <c r="L40" s="500">
        <v>3261701</v>
      </c>
      <c r="M40" s="495">
        <f>4977-669</f>
        <v>4308</v>
      </c>
      <c r="N40" s="495">
        <v>3</v>
      </c>
    </row>
    <row r="41" spans="1:14" x14ac:dyDescent="0.2">
      <c r="A41" s="523" t="s">
        <v>34</v>
      </c>
      <c r="B41" s="496">
        <v>4757866</v>
      </c>
      <c r="C41" s="495">
        <f>'C-BS'!T19</f>
        <v>4742089</v>
      </c>
      <c r="E41" s="495">
        <f>B41-C41</f>
        <v>15777</v>
      </c>
      <c r="G41" s="511">
        <f>E41-G43-G44+H44-G42+H42</f>
        <v>2</v>
      </c>
      <c r="J41" s="495" t="s">
        <v>662</v>
      </c>
      <c r="K41" s="504">
        <f>G85</f>
        <v>0</v>
      </c>
      <c r="L41" s="500">
        <v>0</v>
      </c>
      <c r="M41" s="495">
        <v>0</v>
      </c>
      <c r="N41" s="495">
        <v>4</v>
      </c>
    </row>
    <row r="42" spans="1:14" x14ac:dyDescent="0.2">
      <c r="A42" s="523"/>
      <c r="C42" s="508"/>
      <c r="F42" s="515" t="s">
        <v>1212</v>
      </c>
      <c r="G42" s="504"/>
      <c r="H42" s="495">
        <f>'CF adjs'!E399</f>
        <v>0</v>
      </c>
      <c r="J42" s="495" t="s">
        <v>879</v>
      </c>
      <c r="K42" s="522">
        <f>G86</f>
        <v>1511722</v>
      </c>
      <c r="L42" s="500">
        <v>7283555</v>
      </c>
      <c r="M42" s="495">
        <v>8794</v>
      </c>
      <c r="N42" s="495">
        <v>5</v>
      </c>
    </row>
    <row r="43" spans="1:14" x14ac:dyDescent="0.2">
      <c r="A43" s="501" t="s">
        <v>35</v>
      </c>
      <c r="B43" s="507"/>
      <c r="C43" s="508"/>
      <c r="F43" s="515" t="s">
        <v>322</v>
      </c>
      <c r="G43" s="516">
        <f>'CF adjs'!D7</f>
        <v>15775</v>
      </c>
      <c r="H43" s="508"/>
      <c r="I43" s="516"/>
      <c r="J43" s="495" t="s">
        <v>1014</v>
      </c>
      <c r="K43" s="522">
        <f>G183-H168</f>
        <v>-5258560</v>
      </c>
      <c r="L43" s="500">
        <f>-8736228</f>
        <v>-8736228</v>
      </c>
      <c r="M43" s="495">
        <f>-6894-135-379</f>
        <v>-7408</v>
      </c>
      <c r="N43" s="495">
        <v>6</v>
      </c>
    </row>
    <row r="44" spans="1:14" x14ac:dyDescent="0.2">
      <c r="B44" s="546"/>
      <c r="C44" s="525"/>
      <c r="F44" s="497" t="s">
        <v>603</v>
      </c>
      <c r="G44" s="517">
        <f>'CF adjs'!D297</f>
        <v>0</v>
      </c>
      <c r="J44" s="495" t="s">
        <v>880</v>
      </c>
      <c r="K44" s="504">
        <f>-H201</f>
        <v>0</v>
      </c>
      <c r="L44" s="500">
        <v>0</v>
      </c>
      <c r="M44" s="495">
        <v>0</v>
      </c>
      <c r="N44" s="495">
        <v>7</v>
      </c>
    </row>
    <row r="45" spans="1:14" x14ac:dyDescent="0.2">
      <c r="B45" s="547"/>
      <c r="C45" s="527"/>
      <c r="K45" s="520"/>
      <c r="L45" s="520"/>
      <c r="M45" s="521"/>
    </row>
    <row r="46" spans="1:14" x14ac:dyDescent="0.2">
      <c r="C46" s="508"/>
      <c r="J46" s="503" t="s">
        <v>291</v>
      </c>
      <c r="K46" s="500">
        <f>SUM(K36:K45)</f>
        <v>4356558</v>
      </c>
      <c r="L46" s="597">
        <f>SUM(L36:L45)</f>
        <v>5699369</v>
      </c>
      <c r="M46" s="500">
        <f>SUM(M36:M45)</f>
        <v>9076</v>
      </c>
    </row>
    <row r="47" spans="1:14" x14ac:dyDescent="0.2">
      <c r="C47" s="508"/>
      <c r="J47" s="495" t="s">
        <v>104</v>
      </c>
      <c r="K47" s="519">
        <f>'CF adjs'!E168</f>
        <v>58399</v>
      </c>
      <c r="L47" s="597">
        <v>272467</v>
      </c>
      <c r="M47" s="500">
        <v>242</v>
      </c>
      <c r="N47" s="516" t="s">
        <v>412</v>
      </c>
    </row>
    <row r="48" spans="1:14" x14ac:dyDescent="0.2">
      <c r="A48" s="501" t="s">
        <v>19</v>
      </c>
      <c r="B48" s="496">
        <v>0</v>
      </c>
      <c r="C48" s="508">
        <f>'C-BS'!T30</f>
        <v>0</v>
      </c>
      <c r="J48" s="495" t="s">
        <v>101</v>
      </c>
      <c r="K48" s="519">
        <f>-'CF adjs'!D105</f>
        <v>-582437</v>
      </c>
      <c r="L48" s="597">
        <f>-1293297</f>
        <v>-1293297</v>
      </c>
      <c r="M48" s="495">
        <v>-2160</v>
      </c>
      <c r="N48" s="516" t="s">
        <v>412</v>
      </c>
    </row>
    <row r="49" spans="1:14" hidden="1" x14ac:dyDescent="0.2">
      <c r="A49" s="523" t="s">
        <v>70</v>
      </c>
      <c r="B49" s="496">
        <v>0</v>
      </c>
      <c r="C49" s="508">
        <f>'C-BS'!T37</f>
        <v>0</v>
      </c>
      <c r="J49" s="495" t="s">
        <v>1015</v>
      </c>
      <c r="K49" s="519">
        <f>-'CF adjs'!D110+'CF adjs'!E122</f>
        <v>-445913</v>
      </c>
      <c r="L49" s="597">
        <v>-207253</v>
      </c>
      <c r="M49" s="495">
        <v>-456</v>
      </c>
      <c r="N49" s="516" t="s">
        <v>412</v>
      </c>
    </row>
    <row r="50" spans="1:14" x14ac:dyDescent="0.2">
      <c r="A50" s="523" t="s">
        <v>120</v>
      </c>
      <c r="B50" s="496">
        <v>5503356</v>
      </c>
      <c r="C50" s="495">
        <f>'C-BS'!T42</f>
        <v>5573936</v>
      </c>
      <c r="D50" s="495">
        <f>C50-B50</f>
        <v>70580</v>
      </c>
      <c r="H50" s="511">
        <f>D50-H51-H52-H53+G53</f>
        <v>0</v>
      </c>
      <c r="J50" s="495" t="s">
        <v>118</v>
      </c>
      <c r="K50" s="504">
        <f>-'CF adjs'!D110+'CF adjs'!E122</f>
        <v>-445913</v>
      </c>
      <c r="L50" s="597">
        <f>-904527</f>
        <v>-904527</v>
      </c>
      <c r="M50" s="495">
        <v>0</v>
      </c>
    </row>
    <row r="51" spans="1:14" x14ac:dyDescent="0.2">
      <c r="A51" s="523"/>
      <c r="C51" s="508"/>
      <c r="F51" s="515" t="s">
        <v>328</v>
      </c>
      <c r="G51" s="508"/>
      <c r="H51" s="516">
        <f>'CF adjs'!E19</f>
        <v>70580</v>
      </c>
      <c r="I51" s="516" t="s">
        <v>412</v>
      </c>
      <c r="K51" s="500"/>
      <c r="L51" s="597"/>
    </row>
    <row r="52" spans="1:14" x14ac:dyDescent="0.2">
      <c r="A52" s="523"/>
      <c r="C52" s="508"/>
      <c r="F52" s="515" t="s">
        <v>328</v>
      </c>
      <c r="G52" s="508"/>
      <c r="H52" s="516">
        <f>'CF adjs'!E20</f>
        <v>0</v>
      </c>
      <c r="I52" s="516" t="s">
        <v>412</v>
      </c>
      <c r="J52" s="503" t="s">
        <v>292</v>
      </c>
      <c r="K52" s="528">
        <f>SUM(K46:K51)</f>
        <v>2940694</v>
      </c>
      <c r="L52" s="598">
        <f>SUM(L46:L51)</f>
        <v>3566759</v>
      </c>
      <c r="M52" s="528">
        <f>SUM(M46:M51)</f>
        <v>6702</v>
      </c>
    </row>
    <row r="53" spans="1:14" x14ac:dyDescent="0.2">
      <c r="A53" s="523"/>
      <c r="C53" s="508"/>
      <c r="F53" s="515" t="s">
        <v>1143</v>
      </c>
      <c r="G53" s="516">
        <f>'CF adjs'!D368</f>
        <v>0</v>
      </c>
      <c r="H53" s="516"/>
      <c r="I53" s="516" t="s">
        <v>412</v>
      </c>
      <c r="K53" s="500"/>
    </row>
    <row r="54" spans="1:14" hidden="1" x14ac:dyDescent="0.2">
      <c r="A54" s="523" t="s">
        <v>69</v>
      </c>
      <c r="B54" s="496">
        <v>0</v>
      </c>
      <c r="C54" s="508">
        <f>'C-BS'!T43+'C-BS'!T54</f>
        <v>0</v>
      </c>
      <c r="E54" s="495">
        <f>B54-C54</f>
        <v>0</v>
      </c>
      <c r="G54" s="518">
        <f>E54-G55+H55-G56+H56</f>
        <v>0</v>
      </c>
      <c r="H54" s="517"/>
      <c r="J54" s="498" t="s">
        <v>102</v>
      </c>
      <c r="K54" s="500"/>
    </row>
    <row r="55" spans="1:14" hidden="1" x14ac:dyDescent="0.2">
      <c r="A55" s="523"/>
      <c r="C55" s="508"/>
      <c r="F55" s="497" t="s">
        <v>334</v>
      </c>
      <c r="G55" s="517">
        <v>0</v>
      </c>
      <c r="H55" s="517"/>
      <c r="J55" s="495" t="s">
        <v>293</v>
      </c>
      <c r="K55" s="500">
        <v>0</v>
      </c>
      <c r="L55" s="500">
        <v>0</v>
      </c>
      <c r="M55" s="495">
        <v>0</v>
      </c>
    </row>
    <row r="56" spans="1:14" hidden="1" x14ac:dyDescent="0.2">
      <c r="A56" s="523"/>
      <c r="C56" s="508"/>
      <c r="G56" s="517"/>
      <c r="H56" s="517">
        <v>0</v>
      </c>
      <c r="J56" s="495" t="s">
        <v>294</v>
      </c>
      <c r="K56" s="500">
        <v>0</v>
      </c>
      <c r="L56" s="500">
        <v>0</v>
      </c>
      <c r="M56" s="495">
        <v>0</v>
      </c>
    </row>
    <row r="57" spans="1:14" x14ac:dyDescent="0.2">
      <c r="A57" s="523" t="s">
        <v>64</v>
      </c>
      <c r="B57" s="496">
        <v>0</v>
      </c>
      <c r="C57" s="508">
        <v>0</v>
      </c>
      <c r="J57" s="495" t="s">
        <v>881</v>
      </c>
      <c r="K57" s="504">
        <f>'CF adjs'!E306</f>
        <v>0</v>
      </c>
      <c r="L57" s="500">
        <v>0</v>
      </c>
      <c r="M57" s="495">
        <v>0</v>
      </c>
    </row>
    <row r="58" spans="1:14" x14ac:dyDescent="0.2">
      <c r="A58" s="523" t="s">
        <v>347</v>
      </c>
      <c r="B58" s="496">
        <v>63768629</v>
      </c>
      <c r="C58" s="495">
        <f>'C-BS'!T83</f>
        <v>63786720</v>
      </c>
      <c r="D58" s="495">
        <f>C58-B58</f>
        <v>18091</v>
      </c>
      <c r="H58" s="529">
        <f>D58</f>
        <v>18091</v>
      </c>
      <c r="I58" s="495">
        <v>8</v>
      </c>
      <c r="J58" s="495" t="s">
        <v>119</v>
      </c>
      <c r="K58" s="519">
        <f>'CF adjs'!E54+'CF adjs'!E55+'CF adjs'!E56+'CF adjs'!E58+'CF adjs'!E59</f>
        <v>179847</v>
      </c>
      <c r="L58" s="500">
        <v>1161814</v>
      </c>
      <c r="M58" s="495">
        <v>1238</v>
      </c>
      <c r="N58" s="516" t="s">
        <v>412</v>
      </c>
    </row>
    <row r="59" spans="1:14" x14ac:dyDescent="0.2">
      <c r="A59" s="523"/>
      <c r="C59" s="508"/>
      <c r="F59" s="497" t="s">
        <v>352</v>
      </c>
      <c r="H59" s="517"/>
      <c r="J59" s="495" t="s">
        <v>665</v>
      </c>
      <c r="K59" s="522">
        <f>-H58</f>
        <v>-18091</v>
      </c>
      <c r="L59" s="500">
        <f>-335607</f>
        <v>-335607</v>
      </c>
      <c r="M59" s="495">
        <v>-336</v>
      </c>
      <c r="N59" s="495">
        <v>8</v>
      </c>
    </row>
    <row r="60" spans="1:14" ht="11.25" customHeight="1" x14ac:dyDescent="0.2">
      <c r="A60" s="523" t="s">
        <v>350</v>
      </c>
      <c r="B60" s="507">
        <v>0</v>
      </c>
      <c r="C60" s="508">
        <f>'C-BS'!T87</f>
        <v>0</v>
      </c>
      <c r="D60" s="495">
        <f>C60-B60</f>
        <v>0</v>
      </c>
      <c r="H60" s="517"/>
      <c r="J60" s="495" t="s">
        <v>103</v>
      </c>
      <c r="K60" s="519">
        <f>-'CF adjs'!D23</f>
        <v>-193443</v>
      </c>
      <c r="L60" s="500">
        <f>-1599006</f>
        <v>-1599006</v>
      </c>
      <c r="M60" s="495">
        <v>-2420</v>
      </c>
      <c r="N60" s="516" t="s">
        <v>412</v>
      </c>
    </row>
    <row r="61" spans="1:14" ht="11.25" customHeight="1" x14ac:dyDescent="0.2">
      <c r="A61" s="523"/>
      <c r="B61" s="507"/>
      <c r="C61" s="508"/>
      <c r="F61" s="497" t="s">
        <v>352</v>
      </c>
      <c r="J61" s="50" t="s">
        <v>1346</v>
      </c>
      <c r="K61" s="504">
        <f>'CF adjs'!E161</f>
        <v>0</v>
      </c>
      <c r="L61" s="500">
        <v>3803</v>
      </c>
      <c r="M61" s="495">
        <v>0</v>
      </c>
    </row>
    <row r="62" spans="1:14" x14ac:dyDescent="0.2">
      <c r="A62" s="523"/>
      <c r="B62" s="507"/>
      <c r="C62" s="508"/>
      <c r="F62" s="497" t="s">
        <v>419</v>
      </c>
      <c r="G62" s="517"/>
      <c r="H62" s="517"/>
      <c r="J62" s="495" t="s">
        <v>121</v>
      </c>
      <c r="K62" s="500">
        <v>0</v>
      </c>
      <c r="L62" s="500">
        <v>0</v>
      </c>
      <c r="M62" s="495">
        <v>0</v>
      </c>
    </row>
    <row r="63" spans="1:14" ht="11.25" customHeight="1" x14ac:dyDescent="0.2">
      <c r="A63" s="523" t="s">
        <v>279</v>
      </c>
      <c r="B63" s="496">
        <v>518068</v>
      </c>
      <c r="C63" s="495">
        <f>'C-BS'!T89</f>
        <v>518068</v>
      </c>
      <c r="E63" s="495">
        <f>B63-C63</f>
        <v>0</v>
      </c>
      <c r="G63" s="530">
        <f>E63-G64</f>
        <v>0</v>
      </c>
      <c r="J63" s="495" t="s">
        <v>663</v>
      </c>
      <c r="K63" s="519">
        <f>-'CF adjs'!D17</f>
        <v>0</v>
      </c>
      <c r="L63" s="500">
        <f>-35391</f>
        <v>-35391</v>
      </c>
      <c r="M63" s="495">
        <v>-35</v>
      </c>
      <c r="N63" s="516" t="s">
        <v>412</v>
      </c>
    </row>
    <row r="64" spans="1:14" ht="11.25" customHeight="1" x14ac:dyDescent="0.2">
      <c r="A64" s="523"/>
      <c r="B64" s="507"/>
      <c r="C64" s="508"/>
      <c r="G64" s="517"/>
      <c r="J64" s="495" t="s">
        <v>473</v>
      </c>
      <c r="K64" s="500">
        <f>-'CF adjs'!D96</f>
        <v>0</v>
      </c>
      <c r="L64" s="500">
        <v>0</v>
      </c>
      <c r="M64" s="495">
        <v>0</v>
      </c>
    </row>
    <row r="65" spans="1:14" ht="11.25" customHeight="1" x14ac:dyDescent="0.2">
      <c r="A65" s="523"/>
      <c r="B65" s="507"/>
      <c r="C65" s="508"/>
      <c r="J65" s="495" t="s">
        <v>404</v>
      </c>
      <c r="K65" s="504">
        <v>0</v>
      </c>
      <c r="L65" s="500">
        <v>0</v>
      </c>
      <c r="M65" s="495">
        <v>0</v>
      </c>
    </row>
    <row r="66" spans="1:14" ht="11.25" customHeight="1" x14ac:dyDescent="0.2">
      <c r="A66" s="523"/>
      <c r="B66" s="531">
        <f>B8+B41+B46+B48+B49+B50+B54+B57+B58+B60+B63</f>
        <v>134987775</v>
      </c>
      <c r="C66" s="532">
        <f>C8+C41+C46+C48+C49+C50+C54+C57+C58+C60+C63</f>
        <v>134352466</v>
      </c>
      <c r="J66" s="495" t="s">
        <v>664</v>
      </c>
      <c r="K66" s="504">
        <f>-'CF adjs'!D157</f>
        <v>0</v>
      </c>
      <c r="L66" s="500">
        <v>0</v>
      </c>
      <c r="M66" s="495">
        <v>0</v>
      </c>
    </row>
    <row r="67" spans="1:14" ht="11.25" customHeight="1" x14ac:dyDescent="0.2">
      <c r="A67" s="506" t="s">
        <v>40</v>
      </c>
      <c r="B67" s="507"/>
      <c r="C67" s="508"/>
      <c r="J67" s="495" t="s">
        <v>351</v>
      </c>
      <c r="K67" s="504">
        <f>'CF adjs'!E185</f>
        <v>0</v>
      </c>
      <c r="L67" s="500">
        <v>0</v>
      </c>
      <c r="M67" s="495">
        <v>0</v>
      </c>
    </row>
    <row r="68" spans="1:14" ht="11.25" customHeight="1" x14ac:dyDescent="0.2">
      <c r="A68" s="523" t="s">
        <v>90</v>
      </c>
      <c r="B68" s="507">
        <v>0</v>
      </c>
      <c r="C68" s="508">
        <f>'C-BS'!T93</f>
        <v>0</v>
      </c>
      <c r="E68" s="495">
        <f>B68-C68</f>
        <v>0</v>
      </c>
      <c r="G68" s="495">
        <f>E68-G69</f>
        <v>0</v>
      </c>
      <c r="J68" s="495" t="s">
        <v>386</v>
      </c>
      <c r="K68" s="504">
        <f>-'CF adjs'!D196</f>
        <v>0</v>
      </c>
      <c r="L68" s="500">
        <v>0</v>
      </c>
      <c r="M68" s="495">
        <v>0</v>
      </c>
    </row>
    <row r="69" spans="1:14" ht="11.25" customHeight="1" x14ac:dyDescent="0.2">
      <c r="A69" s="523"/>
      <c r="B69" s="507"/>
      <c r="C69" s="508"/>
      <c r="F69" s="497" t="s">
        <v>401</v>
      </c>
      <c r="G69" s="517"/>
      <c r="J69" s="495" t="s">
        <v>104</v>
      </c>
      <c r="K69" s="504">
        <v>0</v>
      </c>
      <c r="L69" s="500">
        <v>0</v>
      </c>
      <c r="M69" s="495">
        <v>0</v>
      </c>
    </row>
    <row r="70" spans="1:14" x14ac:dyDescent="0.2">
      <c r="A70" s="501" t="s">
        <v>9</v>
      </c>
      <c r="B70" s="496">
        <v>33506518</v>
      </c>
      <c r="C70" s="495">
        <f>'C-BS'!T94</f>
        <v>30296253</v>
      </c>
      <c r="E70" s="495">
        <f>B70-C70</f>
        <v>3210265</v>
      </c>
      <c r="G70" s="529">
        <f>E70-G71-G72-G73+H71+H72+H73</f>
        <v>3210265</v>
      </c>
      <c r="H70" s="517"/>
      <c r="I70" s="495">
        <v>2</v>
      </c>
      <c r="J70" s="495" t="s">
        <v>113</v>
      </c>
      <c r="K70" s="504">
        <f>'CF adjs'!E229</f>
        <v>0</v>
      </c>
      <c r="L70" s="500">
        <v>0</v>
      </c>
      <c r="M70" s="495">
        <v>0</v>
      </c>
    </row>
    <row r="71" spans="1:14" x14ac:dyDescent="0.2">
      <c r="B71" s="507"/>
      <c r="C71" s="508"/>
      <c r="F71" s="497" t="s">
        <v>330</v>
      </c>
      <c r="G71" s="517"/>
      <c r="H71" s="517"/>
      <c r="K71" s="500"/>
    </row>
    <row r="72" spans="1:14" x14ac:dyDescent="0.2">
      <c r="B72" s="507"/>
      <c r="C72" s="508"/>
      <c r="F72" s="497" t="s">
        <v>428</v>
      </c>
      <c r="G72" s="517"/>
      <c r="H72" s="517"/>
      <c r="J72" s="503" t="s">
        <v>127</v>
      </c>
      <c r="K72" s="528">
        <f>SUM(K55:K71)</f>
        <v>-31687</v>
      </c>
      <c r="L72" s="528">
        <f>SUM(L55:L71)</f>
        <v>-804387</v>
      </c>
      <c r="M72" s="528">
        <f>SUM(M55:M71)</f>
        <v>-1553</v>
      </c>
    </row>
    <row r="73" spans="1:14" x14ac:dyDescent="0.2">
      <c r="B73" s="507"/>
      <c r="C73" s="508"/>
      <c r="F73" s="515" t="s">
        <v>1151</v>
      </c>
      <c r="G73" s="516">
        <f>'CF adjs'!D377</f>
        <v>0</v>
      </c>
      <c r="H73" s="517"/>
      <c r="I73" s="516" t="s">
        <v>412</v>
      </c>
      <c r="K73" s="500"/>
    </row>
    <row r="74" spans="1:14" x14ac:dyDescent="0.2">
      <c r="A74" s="501" t="s">
        <v>523</v>
      </c>
      <c r="B74" s="496">
        <f>12720200</f>
        <v>12720200</v>
      </c>
      <c r="C74" s="495">
        <f>'C-BS'!T96+'C-BS'!T97</f>
        <v>6763005</v>
      </c>
      <c r="D74" s="495">
        <f>C74-B74</f>
        <v>-5957195</v>
      </c>
      <c r="G74" s="504"/>
      <c r="H74" s="529">
        <f>D74+G75-H75+G76-H76+G77-H77+G78-H78+G79-H79+G80-H80+G81-H81+G82-H82+G83-H83+G84-H84</f>
        <v>-6165820</v>
      </c>
      <c r="I74" s="495">
        <v>3</v>
      </c>
      <c r="J74" s="498" t="s">
        <v>105</v>
      </c>
      <c r="K74" s="500"/>
    </row>
    <row r="75" spans="1:14" x14ac:dyDescent="0.2">
      <c r="B75" s="524">
        <v>0</v>
      </c>
      <c r="C75" s="525">
        <v>0</v>
      </c>
      <c r="G75" s="517"/>
      <c r="H75" s="517"/>
      <c r="J75" s="503" t="s">
        <v>497</v>
      </c>
      <c r="K75" s="504">
        <f>'CF adjs'!E280</f>
        <v>0</v>
      </c>
      <c r="L75" s="500">
        <v>0</v>
      </c>
      <c r="M75" s="495">
        <v>0</v>
      </c>
    </row>
    <row r="76" spans="1:14" x14ac:dyDescent="0.2">
      <c r="B76" s="533">
        <v>0</v>
      </c>
      <c r="C76" s="534">
        <v>0</v>
      </c>
      <c r="F76" s="497" t="s">
        <v>352</v>
      </c>
      <c r="G76" s="517"/>
      <c r="H76" s="517"/>
      <c r="J76" s="495" t="s">
        <v>104</v>
      </c>
      <c r="K76" s="500">
        <v>0</v>
      </c>
      <c r="L76" s="500">
        <v>0</v>
      </c>
      <c r="M76" s="495">
        <v>0</v>
      </c>
    </row>
    <row r="77" spans="1:14" x14ac:dyDescent="0.2">
      <c r="B77" s="533">
        <v>0</v>
      </c>
      <c r="C77" s="534">
        <v>0</v>
      </c>
      <c r="F77" s="497" t="s">
        <v>353</v>
      </c>
      <c r="G77" s="517"/>
      <c r="H77" s="517"/>
      <c r="J77" s="495" t="s">
        <v>420</v>
      </c>
      <c r="K77" s="504">
        <v>0</v>
      </c>
      <c r="L77" s="500">
        <v>0</v>
      </c>
      <c r="M77" s="495">
        <v>0</v>
      </c>
    </row>
    <row r="78" spans="1:14" x14ac:dyDescent="0.2">
      <c r="B78" s="548">
        <v>0</v>
      </c>
      <c r="C78" s="527">
        <v>0</v>
      </c>
      <c r="F78" s="497" t="s">
        <v>436</v>
      </c>
      <c r="G78" s="517"/>
      <c r="H78" s="517"/>
      <c r="J78" s="50" t="s">
        <v>101</v>
      </c>
      <c r="K78" s="504">
        <f>-'CF adjs'!D207</f>
        <v>0</v>
      </c>
      <c r="L78" s="500">
        <f>-1098040</f>
        <v>-1098040</v>
      </c>
      <c r="M78" s="495">
        <v>0</v>
      </c>
    </row>
    <row r="79" spans="1:14" x14ac:dyDescent="0.2">
      <c r="B79" s="513"/>
      <c r="C79" s="514"/>
      <c r="F79" s="497" t="s">
        <v>436</v>
      </c>
      <c r="G79" s="517"/>
      <c r="H79" s="517"/>
      <c r="J79" s="495" t="s">
        <v>666</v>
      </c>
      <c r="K79" s="519">
        <f>'CF adjs'!E294</f>
        <v>29979</v>
      </c>
      <c r="L79" s="500">
        <f>-537683</f>
        <v>-537683</v>
      </c>
      <c r="M79" s="495">
        <v>-507</v>
      </c>
      <c r="N79" s="516" t="s">
        <v>412</v>
      </c>
    </row>
    <row r="80" spans="1:14" x14ac:dyDescent="0.2">
      <c r="B80" s="513"/>
      <c r="C80" s="514"/>
      <c r="F80" s="497" t="s">
        <v>603</v>
      </c>
      <c r="G80" s="517">
        <f>'CF adjs'!D298</f>
        <v>0</v>
      </c>
      <c r="H80" s="517"/>
      <c r="J80" s="495" t="s">
        <v>891</v>
      </c>
      <c r="K80" s="519">
        <f>-'CF adjs'!D84</f>
        <v>-1229353</v>
      </c>
      <c r="L80" s="500">
        <f>-12572743</f>
        <v>-12572743</v>
      </c>
      <c r="M80" s="495">
        <v>-12437</v>
      </c>
      <c r="N80" s="516" t="s">
        <v>412</v>
      </c>
    </row>
    <row r="81" spans="1:14" x14ac:dyDescent="0.2">
      <c r="B81" s="513"/>
      <c r="C81" s="514"/>
      <c r="F81" s="515" t="s">
        <v>1151</v>
      </c>
      <c r="G81" s="516">
        <f>'CF adjs'!D372</f>
        <v>0</v>
      </c>
      <c r="H81" s="517"/>
      <c r="I81" s="516" t="s">
        <v>412</v>
      </c>
      <c r="J81" s="495" t="s">
        <v>1016</v>
      </c>
      <c r="K81" s="519">
        <f>-'CF adjs'!D76</f>
        <v>-60821</v>
      </c>
      <c r="L81" s="500">
        <f>-185849</f>
        <v>-185849</v>
      </c>
      <c r="M81" s="495">
        <v>-147</v>
      </c>
      <c r="N81" s="516" t="s">
        <v>412</v>
      </c>
    </row>
    <row r="82" spans="1:14" x14ac:dyDescent="0.2">
      <c r="B82" s="513"/>
      <c r="C82" s="514"/>
      <c r="F82" s="515" t="s">
        <v>1092</v>
      </c>
      <c r="G82" s="516"/>
      <c r="H82" s="516">
        <f>'CF adjs'!E358</f>
        <v>0</v>
      </c>
      <c r="I82" s="516" t="s">
        <v>412</v>
      </c>
      <c r="J82" s="50" t="s">
        <v>1352</v>
      </c>
      <c r="K82" s="519"/>
      <c r="L82" s="500">
        <v>3700860</v>
      </c>
      <c r="N82" s="516"/>
    </row>
    <row r="83" spans="1:14" x14ac:dyDescent="0.2">
      <c r="B83" s="513"/>
      <c r="C83" s="514"/>
      <c r="F83" s="515" t="s">
        <v>331</v>
      </c>
      <c r="G83" s="516">
        <f>'CF adjs'!D33</f>
        <v>0</v>
      </c>
      <c r="H83" s="516">
        <f>'CF adjs'!E33</f>
        <v>208625</v>
      </c>
      <c r="I83" s="516" t="s">
        <v>412</v>
      </c>
      <c r="J83" s="503" t="s">
        <v>479</v>
      </c>
      <c r="K83" s="519">
        <f>'CF adjs'!E87+'CF adjs'!E91</f>
        <v>0</v>
      </c>
      <c r="L83" s="500">
        <v>8000000</v>
      </c>
      <c r="M83" s="495">
        <v>8400</v>
      </c>
      <c r="N83" s="516" t="s">
        <v>412</v>
      </c>
    </row>
    <row r="84" spans="1:14" x14ac:dyDescent="0.2">
      <c r="B84" s="513"/>
      <c r="C84" s="514"/>
      <c r="F84" s="515" t="s">
        <v>1178</v>
      </c>
      <c r="G84" s="516">
        <f>'CF adjs'!D390</f>
        <v>0</v>
      </c>
      <c r="H84" s="516"/>
      <c r="I84" s="516" t="s">
        <v>412</v>
      </c>
      <c r="J84" s="503" t="s">
        <v>296</v>
      </c>
      <c r="K84" s="528">
        <f>SUM(K75:K83)</f>
        <v>-1260195</v>
      </c>
      <c r="L84" s="528">
        <f>SUM(L75:L83)</f>
        <v>-2693455</v>
      </c>
      <c r="M84" s="528">
        <f>SUM(M75:M83)</f>
        <v>-4691</v>
      </c>
    </row>
    <row r="85" spans="1:14" x14ac:dyDescent="0.2">
      <c r="A85" s="501" t="s">
        <v>621</v>
      </c>
      <c r="B85" s="513">
        <v>0</v>
      </c>
      <c r="C85" s="514">
        <v>0</v>
      </c>
      <c r="E85" s="495">
        <f>B85-C85</f>
        <v>0</v>
      </c>
      <c r="G85" s="511">
        <f>E85</f>
        <v>0</v>
      </c>
      <c r="H85" s="517"/>
      <c r="I85" s="495">
        <v>4</v>
      </c>
    </row>
    <row r="86" spans="1:14" x14ac:dyDescent="0.2">
      <c r="A86" s="501" t="s">
        <v>829</v>
      </c>
      <c r="B86" s="545">
        <v>1511722</v>
      </c>
      <c r="C86" s="514">
        <f>'C-BS'!T103</f>
        <v>0</v>
      </c>
      <c r="E86" s="495">
        <f>B86-C86</f>
        <v>1511722</v>
      </c>
      <c r="G86" s="529">
        <f>E86</f>
        <v>1511722</v>
      </c>
      <c r="H86" s="517"/>
      <c r="I86" s="495">
        <v>5</v>
      </c>
      <c r="J86" s="498" t="s">
        <v>297</v>
      </c>
      <c r="K86" s="500">
        <f>K52+K72+K84</f>
        <v>1648812</v>
      </c>
      <c r="L86" s="500">
        <f>L52+L72+L84</f>
        <v>68917</v>
      </c>
      <c r="M86" s="500">
        <f>M52+M72+M84</f>
        <v>458</v>
      </c>
    </row>
    <row r="87" spans="1:14" x14ac:dyDescent="0.2">
      <c r="A87" s="523" t="s">
        <v>36</v>
      </c>
      <c r="B87" s="496">
        <v>0</v>
      </c>
      <c r="C87" s="508">
        <f>'C-BS'!T104</f>
        <v>0</v>
      </c>
    </row>
    <row r="88" spans="1:14" x14ac:dyDescent="0.2">
      <c r="A88" s="535" t="s">
        <v>32</v>
      </c>
      <c r="B88" s="496">
        <v>68232</v>
      </c>
      <c r="C88" s="495">
        <f>'C-BS'!T105</f>
        <v>40148</v>
      </c>
      <c r="E88" s="495">
        <f>B88-C88</f>
        <v>28084</v>
      </c>
      <c r="G88" s="511">
        <f>E88-G89+H89-G90+H90-G92+H92-G91+H91-G93+H93-G94+H94-G95+H95-G96+H96</f>
        <v>0</v>
      </c>
      <c r="H88" s="517"/>
      <c r="J88" s="503" t="s">
        <v>298</v>
      </c>
      <c r="K88" s="495">
        <f>L90</f>
        <v>-12793712</v>
      </c>
      <c r="L88" s="500">
        <f>-12862629</f>
        <v>-12862629</v>
      </c>
      <c r="M88" s="495">
        <v>-12862</v>
      </c>
    </row>
    <row r="89" spans="1:14" x14ac:dyDescent="0.2">
      <c r="C89" s="508"/>
      <c r="F89" s="515" t="s">
        <v>335</v>
      </c>
      <c r="G89" s="516"/>
      <c r="H89" s="516">
        <f>'CF adjs'!E115</f>
        <v>5278</v>
      </c>
      <c r="I89" s="516" t="s">
        <v>412</v>
      </c>
    </row>
    <row r="90" spans="1:14" ht="12" thickBot="1" x14ac:dyDescent="0.25">
      <c r="C90" s="508"/>
      <c r="F90" s="515" t="s">
        <v>335</v>
      </c>
      <c r="G90" s="516">
        <f>'CF adjs'!$D$116</f>
        <v>33362</v>
      </c>
      <c r="H90" s="516">
        <f>'CF adjs'!E116</f>
        <v>0</v>
      </c>
      <c r="I90" s="516" t="s">
        <v>412</v>
      </c>
      <c r="J90" s="498" t="s">
        <v>299</v>
      </c>
      <c r="K90" s="536">
        <f>SUM(K86:K89)</f>
        <v>-11144900</v>
      </c>
      <c r="L90" s="536">
        <f>SUM(L86:L89)</f>
        <v>-12793712</v>
      </c>
      <c r="M90" s="536">
        <f>SUM(M86:M89)</f>
        <v>-12404</v>
      </c>
    </row>
    <row r="91" spans="1:14" x14ac:dyDescent="0.2">
      <c r="C91" s="508"/>
      <c r="F91" s="497" t="s">
        <v>335</v>
      </c>
      <c r="G91" s="517"/>
      <c r="H91" s="517">
        <v>0</v>
      </c>
      <c r="I91" s="517"/>
    </row>
    <row r="92" spans="1:14" x14ac:dyDescent="0.2">
      <c r="C92" s="508"/>
      <c r="F92" s="515" t="s">
        <v>335</v>
      </c>
      <c r="G92" s="516">
        <f>'CF adjs'!D118</f>
        <v>0</v>
      </c>
      <c r="H92" s="517"/>
      <c r="I92" s="516" t="s">
        <v>412</v>
      </c>
      <c r="J92" s="498" t="s">
        <v>300</v>
      </c>
    </row>
    <row r="93" spans="1:14" x14ac:dyDescent="0.2">
      <c r="C93" s="508"/>
      <c r="F93" s="497" t="s">
        <v>335</v>
      </c>
      <c r="G93" s="517">
        <f>'CF adjs'!D119</f>
        <v>0</v>
      </c>
      <c r="H93" s="517"/>
      <c r="J93" s="503" t="s">
        <v>301</v>
      </c>
      <c r="K93" s="495">
        <f>C100</f>
        <v>7487534</v>
      </c>
      <c r="L93" s="500">
        <f>B100</f>
        <v>7517513</v>
      </c>
      <c r="M93" s="495">
        <v>7488</v>
      </c>
    </row>
    <row r="94" spans="1:14" x14ac:dyDescent="0.2">
      <c r="C94" s="508"/>
      <c r="F94" s="515" t="s">
        <v>335</v>
      </c>
      <c r="G94" s="516">
        <f>'CF adjs'!D134</f>
        <v>0</v>
      </c>
      <c r="H94" s="517"/>
      <c r="I94" s="516" t="s">
        <v>412</v>
      </c>
      <c r="J94" s="503" t="s">
        <v>302</v>
      </c>
      <c r="K94" s="495">
        <f>C102</f>
        <v>2474209</v>
      </c>
      <c r="L94" s="500">
        <v>506323</v>
      </c>
      <c r="M94" s="495">
        <v>505</v>
      </c>
    </row>
    <row r="95" spans="1:14" x14ac:dyDescent="0.2">
      <c r="C95" s="508"/>
      <c r="F95" s="515" t="s">
        <v>335</v>
      </c>
      <c r="G95" s="516">
        <f>'CF adjs'!D142</f>
        <v>0</v>
      </c>
      <c r="H95" s="517"/>
      <c r="I95" s="516" t="s">
        <v>412</v>
      </c>
      <c r="K95" s="521"/>
      <c r="L95" s="520"/>
      <c r="M95" s="521"/>
    </row>
    <row r="96" spans="1:14" x14ac:dyDescent="0.2">
      <c r="C96" s="508"/>
      <c r="F96" s="515" t="s">
        <v>335</v>
      </c>
      <c r="G96" s="516">
        <f>'CF adjs'!D112</f>
        <v>0</v>
      </c>
      <c r="H96" s="517"/>
      <c r="I96" s="516" t="s">
        <v>412</v>
      </c>
      <c r="J96" s="498" t="s">
        <v>16</v>
      </c>
      <c r="K96" s="537">
        <f>SUM(K93:K95)</f>
        <v>9961743</v>
      </c>
      <c r="L96" s="537">
        <f>SUM(L93:L95)</f>
        <v>8023836</v>
      </c>
      <c r="M96" s="537">
        <f>SUM(M93:M95)</f>
        <v>7993</v>
      </c>
    </row>
    <row r="97" spans="1:13" x14ac:dyDescent="0.2">
      <c r="A97" s="501" t="s">
        <v>110</v>
      </c>
      <c r="B97" s="496">
        <v>0</v>
      </c>
      <c r="C97" s="508">
        <f>'C-BS'!T107</f>
        <v>0</v>
      </c>
      <c r="E97" s="495">
        <f>B97-C97</f>
        <v>0</v>
      </c>
      <c r="G97" s="517">
        <f>E97-G98+H98</f>
        <v>0</v>
      </c>
      <c r="H97" s="517"/>
    </row>
    <row r="98" spans="1:13" x14ac:dyDescent="0.2">
      <c r="C98" s="508"/>
      <c r="F98" s="497" t="s">
        <v>399</v>
      </c>
      <c r="G98" s="517">
        <f>'CF adjs'!D158</f>
        <v>0</v>
      </c>
      <c r="H98" s="517">
        <f>'CF adjs'!E158</f>
        <v>0</v>
      </c>
      <c r="J98" s="503" t="s">
        <v>128</v>
      </c>
      <c r="K98" s="495">
        <f>-C177</f>
        <v>-12965943</v>
      </c>
      <c r="L98" s="500">
        <f>-13092782</f>
        <v>-13092782</v>
      </c>
      <c r="M98" s="495">
        <v>-12909</v>
      </c>
    </row>
    <row r="99" spans="1:13" x14ac:dyDescent="0.2">
      <c r="A99" s="538" t="s">
        <v>16</v>
      </c>
      <c r="B99" s="496">
        <v>8023836</v>
      </c>
      <c r="C99" s="495">
        <f>'C-BS'!T108</f>
        <v>9961743</v>
      </c>
      <c r="G99" s="517"/>
      <c r="K99" s="521">
        <f>-K93</f>
        <v>-7487534</v>
      </c>
      <c r="L99" s="520">
        <f>-L93</f>
        <v>-7517513</v>
      </c>
      <c r="M99" s="521">
        <v>-7488</v>
      </c>
    </row>
    <row r="100" spans="1:13" x14ac:dyDescent="0.2">
      <c r="A100" s="539" t="s">
        <v>305</v>
      </c>
      <c r="B100" s="546">
        <v>7517513</v>
      </c>
      <c r="C100" s="555">
        <v>7487534</v>
      </c>
      <c r="D100" s="495">
        <f>C100-B100</f>
        <v>-29979</v>
      </c>
      <c r="H100" s="518">
        <f>D100+G101-H101</f>
        <v>0</v>
      </c>
      <c r="K100" s="500">
        <f>SUM(K96:K99)</f>
        <v>-10491734</v>
      </c>
      <c r="L100" s="500">
        <f>SUM(L96:L99)</f>
        <v>-12586459</v>
      </c>
      <c r="M100" s="500">
        <f>SUM(M96:M99)</f>
        <v>-12404</v>
      </c>
    </row>
    <row r="101" spans="1:13" x14ac:dyDescent="0.2">
      <c r="A101" s="539"/>
      <c r="B101" s="549"/>
      <c r="C101" s="553"/>
      <c r="F101" s="515" t="s">
        <v>533</v>
      </c>
      <c r="G101" s="516">
        <f>'CF adjs'!$D$293</f>
        <v>29979</v>
      </c>
      <c r="H101" s="516">
        <f>'CF adjs'!$E$293</f>
        <v>0</v>
      </c>
      <c r="I101" s="516" t="s">
        <v>412</v>
      </c>
    </row>
    <row r="102" spans="1:13" x14ac:dyDescent="0.2">
      <c r="A102" s="539" t="s">
        <v>304</v>
      </c>
      <c r="B102" s="547">
        <v>506323</v>
      </c>
      <c r="C102" s="554">
        <f>C99-C100</f>
        <v>2474209</v>
      </c>
      <c r="E102" s="495">
        <f>B102-C102</f>
        <v>-1967886</v>
      </c>
      <c r="G102" s="495">
        <f>E102</f>
        <v>-1967886</v>
      </c>
      <c r="J102" s="503" t="s">
        <v>437</v>
      </c>
      <c r="K102" s="517">
        <v>0</v>
      </c>
      <c r="L102" s="500">
        <v>0</v>
      </c>
      <c r="M102" s="495">
        <v>0</v>
      </c>
    </row>
    <row r="103" spans="1:13" x14ac:dyDescent="0.2">
      <c r="B103" s="507"/>
      <c r="C103" s="508"/>
    </row>
    <row r="104" spans="1:13" ht="12" thickBot="1" x14ac:dyDescent="0.25">
      <c r="A104" s="501" t="s">
        <v>348</v>
      </c>
      <c r="B104" s="496">
        <v>36121782</v>
      </c>
      <c r="C104" s="495">
        <f>'C-BS'!T113</f>
        <v>36126486</v>
      </c>
      <c r="D104" s="495">
        <f>C104-B104</f>
        <v>4704</v>
      </c>
      <c r="H104" s="529">
        <f>D104-H105+G106-H106+G107-H107+G108-H108+G109-H109</f>
        <v>4704</v>
      </c>
      <c r="I104" s="495">
        <v>1</v>
      </c>
      <c r="K104" s="536">
        <f>SUM(K100:K103)</f>
        <v>-10491734</v>
      </c>
      <c r="L104" s="536">
        <f>SUM(L100:L103)</f>
        <v>-12586459</v>
      </c>
      <c r="M104" s="536">
        <f>SUM(M100:M103)</f>
        <v>-12404</v>
      </c>
    </row>
    <row r="105" spans="1:13" x14ac:dyDescent="0.2">
      <c r="B105" s="507"/>
      <c r="C105" s="508"/>
      <c r="F105" s="497" t="s">
        <v>352</v>
      </c>
      <c r="H105" s="517"/>
    </row>
    <row r="106" spans="1:13" x14ac:dyDescent="0.2">
      <c r="B106" s="507"/>
      <c r="C106" s="508"/>
      <c r="F106" s="497" t="s">
        <v>443</v>
      </c>
      <c r="H106" s="517"/>
      <c r="K106" s="500">
        <f>K90-K104</f>
        <v>-653166</v>
      </c>
      <c r="L106" s="500">
        <f>L90-L104</f>
        <v>-207253</v>
      </c>
      <c r="M106" s="500">
        <f>M90-M104</f>
        <v>0</v>
      </c>
    </row>
    <row r="107" spans="1:13" x14ac:dyDescent="0.2">
      <c r="B107" s="507"/>
      <c r="C107" s="508"/>
      <c r="F107" s="497" t="s">
        <v>784</v>
      </c>
      <c r="G107" s="495">
        <f>'CF adjs'!D336</f>
        <v>0</v>
      </c>
      <c r="H107" s="517"/>
      <c r="K107" s="495">
        <f>K90-K100</f>
        <v>-653166</v>
      </c>
    </row>
    <row r="108" spans="1:13" x14ac:dyDescent="0.2">
      <c r="B108" s="507"/>
      <c r="C108" s="508"/>
      <c r="F108" s="497" t="s">
        <v>787</v>
      </c>
      <c r="G108" s="495">
        <f>'CF adjs'!D342</f>
        <v>0</v>
      </c>
      <c r="H108" s="517"/>
      <c r="L108" s="500">
        <f>L90-K88</f>
        <v>0</v>
      </c>
    </row>
    <row r="109" spans="1:13" x14ac:dyDescent="0.2">
      <c r="B109" s="507"/>
      <c r="C109" s="508"/>
      <c r="F109" s="497" t="s">
        <v>334</v>
      </c>
      <c r="G109" s="495">
        <f>'CF adjs'!D99</f>
        <v>0</v>
      </c>
      <c r="H109" s="517"/>
    </row>
    <row r="110" spans="1:13" x14ac:dyDescent="0.2">
      <c r="A110" s="523" t="s">
        <v>65</v>
      </c>
      <c r="B110" s="507">
        <v>0</v>
      </c>
      <c r="C110" s="508">
        <f>'C-BS'!T121+'C-BS'!T122</f>
        <v>0</v>
      </c>
      <c r="E110" s="495">
        <f>B110-C110</f>
        <v>0</v>
      </c>
      <c r="G110" s="495">
        <f>E110</f>
        <v>0</v>
      </c>
      <c r="K110" s="495">
        <f>H177+G99</f>
        <v>0</v>
      </c>
    </row>
    <row r="111" spans="1:13" x14ac:dyDescent="0.2">
      <c r="A111" s="523"/>
      <c r="B111" s="507"/>
      <c r="C111" s="508"/>
    </row>
    <row r="112" spans="1:13" x14ac:dyDescent="0.2">
      <c r="B112" s="531">
        <f>B68+B70+B74+B85+B87+B88+B97+B99+B103+B104+B110+B86</f>
        <v>91952290</v>
      </c>
      <c r="C112" s="532">
        <f>C68+C70+C74+C85+C87+C88+C97+C99+C103+C104+C110+C86</f>
        <v>83187635</v>
      </c>
    </row>
    <row r="113" spans="1:9" x14ac:dyDescent="0.2">
      <c r="A113" s="523" t="s">
        <v>91</v>
      </c>
      <c r="B113" s="507"/>
      <c r="C113" s="508"/>
    </row>
    <row r="114" spans="1:9" x14ac:dyDescent="0.2">
      <c r="A114" s="523" t="s">
        <v>92</v>
      </c>
      <c r="B114" s="507">
        <v>0</v>
      </c>
      <c r="C114" s="508">
        <f>'C-BS'!T127</f>
        <v>0</v>
      </c>
      <c r="E114" s="495">
        <f>B114-C114</f>
        <v>0</v>
      </c>
      <c r="G114" s="511">
        <f>E114-G115+H115-G116+H116</f>
        <v>0</v>
      </c>
    </row>
    <row r="115" spans="1:9" x14ac:dyDescent="0.2">
      <c r="A115" s="503" t="s">
        <v>542</v>
      </c>
      <c r="B115" s="524">
        <v>0</v>
      </c>
      <c r="C115" s="525">
        <v>7426667</v>
      </c>
      <c r="F115" s="515" t="s">
        <v>1092</v>
      </c>
      <c r="G115" s="516">
        <f>'CF adjs'!D355</f>
        <v>0</v>
      </c>
      <c r="I115" s="516" t="s">
        <v>412</v>
      </c>
    </row>
    <row r="116" spans="1:9" x14ac:dyDescent="0.2">
      <c r="A116" s="503" t="s">
        <v>543</v>
      </c>
      <c r="B116" s="533">
        <v>0</v>
      </c>
      <c r="C116" s="534">
        <v>0</v>
      </c>
      <c r="F116" s="497" t="s">
        <v>603</v>
      </c>
      <c r="G116" s="517"/>
      <c r="H116" s="517">
        <f>'CF adjs'!E301</f>
        <v>0</v>
      </c>
    </row>
    <row r="117" spans="1:9" x14ac:dyDescent="0.2">
      <c r="A117" s="503" t="s">
        <v>544</v>
      </c>
      <c r="B117" s="533">
        <v>0</v>
      </c>
      <c r="C117" s="534">
        <v>50700</v>
      </c>
    </row>
    <row r="118" spans="1:9" x14ac:dyDescent="0.2">
      <c r="A118" s="539" t="s">
        <v>304</v>
      </c>
      <c r="B118" s="526">
        <v>0</v>
      </c>
      <c r="C118" s="527">
        <v>43195</v>
      </c>
    </row>
    <row r="119" spans="1:9" x14ac:dyDescent="0.2">
      <c r="A119" s="523"/>
      <c r="B119" s="507"/>
      <c r="C119" s="508"/>
    </row>
    <row r="120" spans="1:9" x14ac:dyDescent="0.2">
      <c r="A120" s="523"/>
      <c r="B120" s="507"/>
      <c r="C120" s="508"/>
    </row>
    <row r="121" spans="1:9" x14ac:dyDescent="0.2">
      <c r="A121" s="523"/>
      <c r="B121" s="531">
        <f>B112+B114</f>
        <v>91952290</v>
      </c>
      <c r="C121" s="532">
        <f>C112+C114</f>
        <v>83187635</v>
      </c>
    </row>
    <row r="122" spans="1:9" ht="12" thickBot="1" x14ac:dyDescent="0.25">
      <c r="A122" s="506" t="s">
        <v>38</v>
      </c>
      <c r="B122" s="540">
        <f>SUM(B66+B121)</f>
        <v>226940065</v>
      </c>
      <c r="C122" s="541">
        <f>SUM(C66+C121)</f>
        <v>217540101</v>
      </c>
    </row>
    <row r="123" spans="1:9" ht="12" thickTop="1" x14ac:dyDescent="0.2">
      <c r="B123" s="507"/>
      <c r="C123" s="508"/>
    </row>
    <row r="124" spans="1:9" x14ac:dyDescent="0.2">
      <c r="A124" s="506" t="s">
        <v>37</v>
      </c>
      <c r="B124" s="507"/>
      <c r="C124" s="508"/>
    </row>
    <row r="125" spans="1:9" x14ac:dyDescent="0.2">
      <c r="A125" s="506" t="s">
        <v>58</v>
      </c>
      <c r="B125" s="507"/>
      <c r="C125" s="508"/>
    </row>
    <row r="126" spans="1:9" x14ac:dyDescent="0.2">
      <c r="A126" s="506" t="s">
        <v>57</v>
      </c>
      <c r="B126" s="507"/>
      <c r="C126" s="508"/>
    </row>
    <row r="127" spans="1:9" x14ac:dyDescent="0.2">
      <c r="A127" s="501" t="s">
        <v>14</v>
      </c>
      <c r="B127" s="496">
        <v>195934471</v>
      </c>
      <c r="C127" s="495">
        <f>'C-BS'!T139</f>
        <v>195934471</v>
      </c>
    </row>
    <row r="128" spans="1:9" x14ac:dyDescent="0.2">
      <c r="A128" s="501" t="s">
        <v>111</v>
      </c>
      <c r="B128" s="496">
        <v>20494100</v>
      </c>
      <c r="C128" s="495">
        <f>'C-BS'!T155</f>
        <v>20494100</v>
      </c>
    </row>
    <row r="129" spans="1:9" x14ac:dyDescent="0.2">
      <c r="A129" s="501" t="s">
        <v>25</v>
      </c>
      <c r="B129" s="496">
        <v>3805990</v>
      </c>
      <c r="C129" s="495">
        <f>'C-BS'!T156</f>
        <v>3805990</v>
      </c>
    </row>
    <row r="130" spans="1:9" x14ac:dyDescent="0.2">
      <c r="A130" s="523" t="s">
        <v>71</v>
      </c>
      <c r="B130" s="496">
        <v>-3279648</v>
      </c>
      <c r="C130" s="495">
        <f>'C-BS'!T157</f>
        <v>-3279648</v>
      </c>
      <c r="D130" s="495">
        <f>B130-C130</f>
        <v>0</v>
      </c>
      <c r="H130" s="517">
        <f>D130+G131-H131</f>
        <v>0</v>
      </c>
    </row>
    <row r="131" spans="1:9" x14ac:dyDescent="0.2">
      <c r="A131" s="523"/>
      <c r="C131" s="508"/>
      <c r="F131" s="497" t="s">
        <v>400</v>
      </c>
      <c r="H131" s="517"/>
    </row>
    <row r="132" spans="1:9" x14ac:dyDescent="0.2">
      <c r="A132" s="523" t="s">
        <v>1204</v>
      </c>
      <c r="B132" s="496">
        <v>-8141012</v>
      </c>
      <c r="C132" s="495">
        <f>'C-BS'!T158</f>
        <v>-8141012</v>
      </c>
      <c r="E132" s="495">
        <f>C132-B132</f>
        <v>0</v>
      </c>
      <c r="G132" s="495">
        <f>E132-G133+H133-G134+H134</f>
        <v>0</v>
      </c>
    </row>
    <row r="133" spans="1:9" x14ac:dyDescent="0.2">
      <c r="A133" s="523"/>
      <c r="C133" s="508"/>
      <c r="F133" s="515" t="s">
        <v>1175</v>
      </c>
      <c r="G133" s="516">
        <f>'CF adjs'!D382</f>
        <v>0</v>
      </c>
      <c r="I133" s="516" t="s">
        <v>412</v>
      </c>
    </row>
    <row r="134" spans="1:9" x14ac:dyDescent="0.2">
      <c r="A134" s="523"/>
      <c r="B134" s="507"/>
      <c r="C134" s="508"/>
      <c r="F134" s="515" t="s">
        <v>1213</v>
      </c>
      <c r="G134" s="516"/>
      <c r="H134" s="516">
        <f>'CF adjs'!E404+'CF adjs'!E406</f>
        <v>0</v>
      </c>
      <c r="I134" s="516"/>
    </row>
    <row r="135" spans="1:9" x14ac:dyDescent="0.2">
      <c r="A135" s="501" t="s">
        <v>39</v>
      </c>
      <c r="B135" s="496">
        <v>-98179126</v>
      </c>
      <c r="C135" s="495">
        <f>'C-BS'!T175+'C-BS'!T228</f>
        <v>-100220154</v>
      </c>
      <c r="E135" s="495">
        <f>C135-B135</f>
        <v>-2041028</v>
      </c>
      <c r="G135" s="511">
        <f>E135-G136-G137-G139-G140+H139+H140+H136+H137-G141+H141-G142+H142-G143+H143-G144+H144-G145+H145-G138+H138-G146+H146-G148+H148-G147+H147</f>
        <v>-2250393</v>
      </c>
      <c r="H135" s="517"/>
    </row>
    <row r="136" spans="1:9" x14ac:dyDescent="0.2">
      <c r="B136" s="507"/>
      <c r="C136" s="508"/>
      <c r="F136" s="497" t="s">
        <v>335</v>
      </c>
      <c r="G136" s="517"/>
      <c r="H136" s="517"/>
    </row>
    <row r="137" spans="1:9" x14ac:dyDescent="0.2">
      <c r="B137" s="507"/>
      <c r="C137" s="508"/>
      <c r="F137" s="515" t="s">
        <v>403</v>
      </c>
      <c r="G137" s="516">
        <f>'CF adjs'!D221</f>
        <v>141840</v>
      </c>
      <c r="H137" s="516">
        <f>'CF adjs'!E216</f>
        <v>0</v>
      </c>
      <c r="I137" s="516" t="s">
        <v>412</v>
      </c>
    </row>
    <row r="138" spans="1:9" x14ac:dyDescent="0.2">
      <c r="B138" s="507"/>
      <c r="C138" s="508"/>
      <c r="F138" s="515" t="s">
        <v>403</v>
      </c>
      <c r="G138" s="516">
        <f>'CF adjs'!D222</f>
        <v>47871</v>
      </c>
      <c r="H138" s="516">
        <f>'CF adjs'!E222</f>
        <v>0</v>
      </c>
      <c r="I138" s="516" t="s">
        <v>412</v>
      </c>
    </row>
    <row r="139" spans="1:9" x14ac:dyDescent="0.2">
      <c r="B139" s="507"/>
      <c r="C139" s="508"/>
      <c r="F139" s="497" t="s">
        <v>405</v>
      </c>
      <c r="G139" s="517"/>
      <c r="H139" s="517">
        <f>'CF adjs'!E230</f>
        <v>0</v>
      </c>
    </row>
    <row r="140" spans="1:9" x14ac:dyDescent="0.2">
      <c r="B140" s="507"/>
      <c r="C140" s="508"/>
      <c r="F140" s="497" t="s">
        <v>335</v>
      </c>
      <c r="G140" s="517"/>
      <c r="H140" s="517">
        <f>'CF adjs'!E131</f>
        <v>0</v>
      </c>
    </row>
    <row r="141" spans="1:9" x14ac:dyDescent="0.2">
      <c r="B141" s="507"/>
      <c r="C141" s="508"/>
      <c r="F141" s="497" t="s">
        <v>618</v>
      </c>
      <c r="G141" s="517"/>
      <c r="H141" s="517">
        <f>'CF adjs'!E318</f>
        <v>0</v>
      </c>
    </row>
    <row r="142" spans="1:9" x14ac:dyDescent="0.2">
      <c r="B142" s="507"/>
      <c r="C142" s="508"/>
      <c r="F142" s="497" t="s">
        <v>670</v>
      </c>
      <c r="G142" s="517"/>
      <c r="H142" s="517">
        <f>'CF adjs'!E324</f>
        <v>0</v>
      </c>
    </row>
    <row r="143" spans="1:9" x14ac:dyDescent="0.2">
      <c r="B143" s="507"/>
      <c r="C143" s="508"/>
      <c r="F143" s="515" t="s">
        <v>1214</v>
      </c>
      <c r="G143" s="516">
        <f>'CF adjs'!D409</f>
        <v>19654</v>
      </c>
      <c r="H143" s="517"/>
    </row>
    <row r="144" spans="1:9" x14ac:dyDescent="0.2">
      <c r="B144" s="507"/>
      <c r="C144" s="508"/>
      <c r="F144" s="515" t="s">
        <v>1213</v>
      </c>
      <c r="G144" s="516">
        <f>'CF adjs'!D405</f>
        <v>0</v>
      </c>
      <c r="H144" s="517"/>
    </row>
    <row r="145" spans="1:10" x14ac:dyDescent="0.2">
      <c r="B145" s="507"/>
      <c r="C145" s="508"/>
      <c r="F145" s="515" t="s">
        <v>335</v>
      </c>
      <c r="G145" s="517"/>
      <c r="H145" s="516">
        <f>'CF adjs'!E141</f>
        <v>0</v>
      </c>
      <c r="I145" s="516" t="s">
        <v>412</v>
      </c>
    </row>
    <row r="146" spans="1:10" x14ac:dyDescent="0.2">
      <c r="B146" s="507"/>
      <c r="C146" s="508"/>
      <c r="F146" s="515" t="s">
        <v>335</v>
      </c>
      <c r="G146" s="516"/>
      <c r="H146" s="516">
        <f>'CF adjs'!E114</f>
        <v>0</v>
      </c>
      <c r="I146" s="516" t="s">
        <v>412</v>
      </c>
    </row>
    <row r="147" spans="1:10" x14ac:dyDescent="0.2">
      <c r="B147" s="507"/>
      <c r="C147" s="508"/>
      <c r="F147" s="515" t="s">
        <v>335</v>
      </c>
      <c r="G147" s="516"/>
      <c r="H147" s="516">
        <f>'CF adjs'!E113</f>
        <v>0</v>
      </c>
      <c r="I147" s="516" t="s">
        <v>412</v>
      </c>
    </row>
    <row r="148" spans="1:10" x14ac:dyDescent="0.2">
      <c r="B148" s="507"/>
      <c r="C148" s="508"/>
      <c r="F148" s="515" t="s">
        <v>335</v>
      </c>
      <c r="G148" s="516">
        <f>'CF adjs'!D138</f>
        <v>0</v>
      </c>
      <c r="H148" s="517"/>
      <c r="I148" s="516" t="s">
        <v>412</v>
      </c>
    </row>
    <row r="149" spans="1:10" x14ac:dyDescent="0.2">
      <c r="A149" s="550" t="s">
        <v>1308</v>
      </c>
      <c r="B149" s="496">
        <v>21276656</v>
      </c>
      <c r="C149" s="495">
        <f>'C-BS'!T172</f>
        <v>21276656</v>
      </c>
      <c r="F149" s="515"/>
      <c r="G149" s="516"/>
      <c r="H149" s="517"/>
      <c r="I149" s="516"/>
    </row>
    <row r="150" spans="1:10" x14ac:dyDescent="0.2">
      <c r="A150" s="501" t="s">
        <v>360</v>
      </c>
      <c r="B150" s="496">
        <v>15253883</v>
      </c>
      <c r="C150" s="495">
        <f>'C-BS'!T232</f>
        <v>15064172</v>
      </c>
      <c r="D150" s="508"/>
      <c r="E150" s="495">
        <f>C150-B150</f>
        <v>-189711</v>
      </c>
      <c r="G150" s="511">
        <f>E150-G152+H152-G153+H153-G155+H155-G151+H151-G154+H154</f>
        <v>0</v>
      </c>
      <c r="H150" s="517"/>
    </row>
    <row r="151" spans="1:10" x14ac:dyDescent="0.2">
      <c r="B151" s="507"/>
      <c r="C151" s="508"/>
      <c r="D151" s="508"/>
      <c r="F151" s="497" t="s">
        <v>334</v>
      </c>
      <c r="G151" s="517"/>
      <c r="H151" s="517">
        <f>'CF adjs'!E101</f>
        <v>0</v>
      </c>
    </row>
    <row r="152" spans="1:10" x14ac:dyDescent="0.2">
      <c r="B152" s="507"/>
      <c r="C152" s="508"/>
      <c r="F152" s="497" t="s">
        <v>352</v>
      </c>
      <c r="H152" s="517"/>
    </row>
    <row r="153" spans="1:10" x14ac:dyDescent="0.2">
      <c r="B153" s="507"/>
      <c r="C153" s="508"/>
      <c r="F153" s="515" t="s">
        <v>403</v>
      </c>
      <c r="G153" s="516">
        <f>'CF adjs'!D215</f>
        <v>0</v>
      </c>
      <c r="H153" s="516">
        <f>'CF adjs'!D221</f>
        <v>141840</v>
      </c>
      <c r="I153" s="516" t="s">
        <v>412</v>
      </c>
    </row>
    <row r="154" spans="1:10" x14ac:dyDescent="0.2">
      <c r="B154" s="507"/>
      <c r="C154" s="508"/>
      <c r="F154" s="515" t="s">
        <v>403</v>
      </c>
      <c r="G154" s="516">
        <f>'CF adjs'!E222</f>
        <v>0</v>
      </c>
      <c r="H154" s="516">
        <f>'CF adjs'!E223</f>
        <v>47871</v>
      </c>
      <c r="I154" s="516" t="s">
        <v>412</v>
      </c>
    </row>
    <row r="155" spans="1:10" x14ac:dyDescent="0.2">
      <c r="B155" s="507"/>
      <c r="C155" s="508"/>
      <c r="F155" s="497" t="s">
        <v>784</v>
      </c>
      <c r="H155" s="517">
        <f>'CF adjs'!E337</f>
        <v>0</v>
      </c>
    </row>
    <row r="156" spans="1:10" x14ac:dyDescent="0.2">
      <c r="A156" s="542" t="s">
        <v>41</v>
      </c>
      <c r="B156" s="531">
        <f>SUM(B127:B153)</f>
        <v>147165314</v>
      </c>
      <c r="C156" s="532">
        <f>SUM(C127:C153)</f>
        <v>144934575</v>
      </c>
    </row>
    <row r="157" spans="1:10" x14ac:dyDescent="0.2">
      <c r="A157" s="542"/>
      <c r="B157" s="507"/>
      <c r="C157" s="508"/>
      <c r="J157" s="503">
        <f>SUM(H178:H179)</f>
        <v>5827807</v>
      </c>
    </row>
    <row r="158" spans="1:10" x14ac:dyDescent="0.2">
      <c r="A158" s="542" t="s">
        <v>23</v>
      </c>
      <c r="B158" s="507"/>
      <c r="C158" s="508"/>
      <c r="J158" s="503">
        <f>G159-J157</f>
        <v>0</v>
      </c>
    </row>
    <row r="159" spans="1:10" x14ac:dyDescent="0.2">
      <c r="A159" s="523" t="s">
        <v>18</v>
      </c>
      <c r="B159" s="496">
        <v>10678895</v>
      </c>
      <c r="C159" s="495">
        <f>'C-BS'!T249</f>
        <v>15311060</v>
      </c>
      <c r="D159" s="495">
        <v>0</v>
      </c>
      <c r="E159" s="495">
        <f>C159-B159</f>
        <v>4632165</v>
      </c>
      <c r="G159" s="517">
        <f>E159-G160+H160-G161+H161-G164+H164-G165+H165-G162+H162-G163+H163-G166+H166-G167+H167</f>
        <v>5827807</v>
      </c>
      <c r="H159" s="517"/>
    </row>
    <row r="160" spans="1:10" x14ac:dyDescent="0.2">
      <c r="A160" s="523"/>
      <c r="C160" s="508"/>
      <c r="F160" s="497" t="s">
        <v>333</v>
      </c>
      <c r="G160" s="517">
        <f>'CF adjs'!D81</f>
        <v>0</v>
      </c>
      <c r="H160" s="517">
        <f>'CF adjs'!$E$85</f>
        <v>1229353</v>
      </c>
    </row>
    <row r="161" spans="1:9" x14ac:dyDescent="0.2">
      <c r="A161" s="523"/>
      <c r="C161" s="508"/>
      <c r="F161" s="497" t="s">
        <v>333</v>
      </c>
      <c r="G161" s="517"/>
      <c r="H161" s="517">
        <f>'CF adjs'!$E$79</f>
        <v>60821</v>
      </c>
    </row>
    <row r="162" spans="1:9" x14ac:dyDescent="0.2">
      <c r="A162" s="523"/>
      <c r="C162" s="508"/>
      <c r="F162" s="515" t="s">
        <v>333</v>
      </c>
      <c r="G162" s="516"/>
      <c r="H162" s="516">
        <f>'CF adjs'!$E$81</f>
        <v>3259</v>
      </c>
      <c r="I162" s="516" t="s">
        <v>412</v>
      </c>
    </row>
    <row r="163" spans="1:9" x14ac:dyDescent="0.2">
      <c r="A163" s="523"/>
      <c r="C163" s="508"/>
      <c r="F163" s="515" t="s">
        <v>333</v>
      </c>
      <c r="G163" s="516">
        <f>'CF adjs'!D86</f>
        <v>97791</v>
      </c>
      <c r="H163" s="517"/>
      <c r="I163" s="516"/>
    </row>
    <row r="164" spans="1:9" x14ac:dyDescent="0.2">
      <c r="A164" s="523"/>
      <c r="C164" s="508"/>
      <c r="F164" s="497" t="s">
        <v>496</v>
      </c>
      <c r="G164" s="517">
        <f>'CF adjs'!D273</f>
        <v>0</v>
      </c>
      <c r="H164" s="517"/>
    </row>
    <row r="165" spans="1:9" x14ac:dyDescent="0.2">
      <c r="A165" s="523"/>
      <c r="C165" s="508"/>
      <c r="F165" s="497" t="s">
        <v>496</v>
      </c>
      <c r="G165" s="517">
        <f>'CF adjs'!D275</f>
        <v>0</v>
      </c>
      <c r="H165" s="517"/>
    </row>
    <row r="166" spans="1:9" x14ac:dyDescent="0.2">
      <c r="A166" s="523"/>
      <c r="C166" s="508"/>
      <c r="F166" s="515" t="s">
        <v>333</v>
      </c>
      <c r="G166" s="516">
        <f>'CF adjs'!D88</f>
        <v>0</v>
      </c>
      <c r="H166" s="516">
        <f>'CF adjs'!E88</f>
        <v>0</v>
      </c>
      <c r="I166" s="516" t="s">
        <v>412</v>
      </c>
    </row>
    <row r="167" spans="1:9" x14ac:dyDescent="0.2">
      <c r="A167" s="523"/>
      <c r="C167" s="508"/>
      <c r="F167" s="515" t="s">
        <v>333</v>
      </c>
      <c r="G167" s="516"/>
      <c r="H167" s="517"/>
      <c r="I167" s="516" t="s">
        <v>412</v>
      </c>
    </row>
    <row r="168" spans="1:9" x14ac:dyDescent="0.2">
      <c r="A168" s="543" t="s">
        <v>278</v>
      </c>
      <c r="B168" s="496">
        <v>14542674</v>
      </c>
      <c r="C168" s="508">
        <v>0</v>
      </c>
      <c r="D168" s="495">
        <f>B168-C168</f>
        <v>14542674</v>
      </c>
      <c r="G168" s="517"/>
      <c r="H168" s="529">
        <f>D168</f>
        <v>14542674</v>
      </c>
      <c r="I168" s="495">
        <v>6</v>
      </c>
    </row>
    <row r="169" spans="1:9" x14ac:dyDescent="0.2">
      <c r="A169" s="523" t="s">
        <v>22</v>
      </c>
      <c r="B169" s="496">
        <v>7544168</v>
      </c>
      <c r="C169" s="495">
        <f>'C-BS'!T250</f>
        <v>7524513</v>
      </c>
      <c r="D169" s="495">
        <f>B169-C169</f>
        <v>19655</v>
      </c>
      <c r="H169" s="504">
        <f>D169-H170-H171+G170+G171</f>
        <v>1</v>
      </c>
    </row>
    <row r="170" spans="1:9" x14ac:dyDescent="0.2">
      <c r="A170" s="523"/>
      <c r="C170" s="508"/>
      <c r="F170" s="515" t="s">
        <v>1213</v>
      </c>
      <c r="G170" s="495">
        <f>'CF adjs'!D403</f>
        <v>0</v>
      </c>
      <c r="H170" s="517">
        <f>'CF adjs'!E124</f>
        <v>0</v>
      </c>
    </row>
    <row r="171" spans="1:9" x14ac:dyDescent="0.2">
      <c r="A171" s="523"/>
      <c r="B171" s="507"/>
      <c r="C171" s="508"/>
      <c r="F171" s="515" t="s">
        <v>1214</v>
      </c>
      <c r="H171" s="516">
        <f>'CF adjs'!E410</f>
        <v>19654</v>
      </c>
    </row>
    <row r="172" spans="1:9" x14ac:dyDescent="0.2">
      <c r="A172" s="523" t="s">
        <v>21</v>
      </c>
      <c r="B172" s="507">
        <v>0</v>
      </c>
      <c r="C172" s="508">
        <f>'C-BS'!T263</f>
        <v>0</v>
      </c>
    </row>
    <row r="173" spans="1:9" x14ac:dyDescent="0.2">
      <c r="A173" s="523"/>
      <c r="B173" s="507"/>
      <c r="C173" s="508"/>
    </row>
    <row r="174" spans="1:9" x14ac:dyDescent="0.2">
      <c r="A174" s="523"/>
      <c r="B174" s="531">
        <f>SUM(B159:B173)</f>
        <v>32765737</v>
      </c>
      <c r="C174" s="532">
        <f>SUM(C159:C173)</f>
        <v>22835573</v>
      </c>
    </row>
    <row r="175" spans="1:9" x14ac:dyDescent="0.2">
      <c r="A175" s="506" t="s">
        <v>43</v>
      </c>
      <c r="B175" s="507"/>
      <c r="C175" s="508"/>
    </row>
    <row r="176" spans="1:9" x14ac:dyDescent="0.2">
      <c r="A176" s="501" t="s">
        <v>18</v>
      </c>
      <c r="B176" s="496">
        <v>19168694</v>
      </c>
      <c r="C176" s="495">
        <f>'C-BS'!T271</f>
        <v>13217307</v>
      </c>
    </row>
    <row r="177" spans="1:9" x14ac:dyDescent="0.2">
      <c r="A177" s="539" t="s">
        <v>306</v>
      </c>
      <c r="B177" s="546">
        <v>13092782</v>
      </c>
      <c r="C177" s="551">
        <f>1998118+10967825</f>
        <v>12965943</v>
      </c>
      <c r="E177" s="495">
        <f>C177-B177</f>
        <v>-126839</v>
      </c>
      <c r="G177" s="495">
        <f>E177</f>
        <v>-126839</v>
      </c>
      <c r="H177" s="517"/>
    </row>
    <row r="178" spans="1:9" x14ac:dyDescent="0.2">
      <c r="A178" s="539" t="s">
        <v>656</v>
      </c>
      <c r="B178" s="549">
        <v>841601</v>
      </c>
      <c r="C178" s="552"/>
      <c r="D178" s="495">
        <f>B178-C178</f>
        <v>841601</v>
      </c>
      <c r="H178" s="517">
        <f>D178</f>
        <v>841601</v>
      </c>
    </row>
    <row r="179" spans="1:9" x14ac:dyDescent="0.2">
      <c r="A179" s="503" t="s">
        <v>657</v>
      </c>
      <c r="B179" s="549">
        <v>4986206</v>
      </c>
      <c r="C179" s="553"/>
      <c r="D179" s="495">
        <f>B179-C179</f>
        <v>4986206</v>
      </c>
      <c r="G179" s="517"/>
      <c r="H179" s="517">
        <f>D179</f>
        <v>4986206</v>
      </c>
    </row>
    <row r="180" spans="1:9" x14ac:dyDescent="0.2">
      <c r="A180" s="503" t="s">
        <v>307</v>
      </c>
      <c r="B180" s="547">
        <v>248105</v>
      </c>
      <c r="C180" s="554">
        <f>35226+133883+82255</f>
        <v>251364</v>
      </c>
      <c r="D180" s="495">
        <f>B180-C180</f>
        <v>-3259</v>
      </c>
      <c r="G180" s="517"/>
      <c r="H180" s="511">
        <f>D180+G181-H181+G182-H182</f>
        <v>0</v>
      </c>
    </row>
    <row r="181" spans="1:9" x14ac:dyDescent="0.2">
      <c r="A181" s="503"/>
      <c r="B181" s="507"/>
      <c r="C181" s="508"/>
      <c r="F181" s="497" t="s">
        <v>333</v>
      </c>
      <c r="G181" s="517">
        <f>'CF adjs'!$D$80</f>
        <v>3259</v>
      </c>
      <c r="H181" s="517"/>
      <c r="I181" s="516"/>
    </row>
    <row r="182" spans="1:9" x14ac:dyDescent="0.2">
      <c r="B182" s="507"/>
      <c r="C182" s="508"/>
      <c r="F182" s="515" t="s">
        <v>333</v>
      </c>
      <c r="G182" s="516"/>
      <c r="H182" s="516">
        <f>'CF adjs'!E80</f>
        <v>0</v>
      </c>
      <c r="I182" s="516" t="s">
        <v>412</v>
      </c>
    </row>
    <row r="183" spans="1:9" x14ac:dyDescent="0.2">
      <c r="A183" s="501" t="s">
        <v>278</v>
      </c>
      <c r="B183" s="496">
        <v>26833954</v>
      </c>
      <c r="C183" s="495">
        <f>'C-BS'!T272+'C-BS'!T273</f>
        <v>36467277</v>
      </c>
      <c r="E183" s="495">
        <f>C183-B183</f>
        <v>9633323</v>
      </c>
      <c r="G183" s="529">
        <f>E183-G184+H184-G186+H186-G187+H187-G188+H188-G191+H191-G192+H192-G193+H193-G194+H194-G195+H195-G189+H189-G190+H190-G185+H185-G196+H196-G197+H197-G198+H198-G199+H199-G200+H200</f>
        <v>9284114</v>
      </c>
      <c r="H183" s="517"/>
      <c r="I183" s="495">
        <v>6</v>
      </c>
    </row>
    <row r="184" spans="1:9" x14ac:dyDescent="0.2">
      <c r="B184" s="507"/>
      <c r="C184" s="508"/>
      <c r="F184" s="497" t="s">
        <v>331</v>
      </c>
      <c r="G184" s="517"/>
      <c r="H184" s="517"/>
    </row>
    <row r="185" spans="1:9" x14ac:dyDescent="0.2">
      <c r="B185" s="507"/>
      <c r="C185" s="508"/>
      <c r="F185" s="497" t="s">
        <v>333</v>
      </c>
      <c r="G185" s="517"/>
      <c r="H185" s="517">
        <v>0</v>
      </c>
    </row>
    <row r="186" spans="1:9" x14ac:dyDescent="0.2">
      <c r="B186" s="507"/>
      <c r="C186" s="508"/>
      <c r="F186" s="497" t="s">
        <v>352</v>
      </c>
      <c r="G186" s="517"/>
    </row>
    <row r="187" spans="1:9" x14ac:dyDescent="0.2">
      <c r="B187" s="507"/>
      <c r="C187" s="508"/>
      <c r="F187" s="497" t="s">
        <v>385</v>
      </c>
      <c r="G187" s="517"/>
    </row>
    <row r="188" spans="1:9" x14ac:dyDescent="0.2">
      <c r="B188" s="507"/>
      <c r="C188" s="508"/>
      <c r="F188" s="515" t="s">
        <v>335</v>
      </c>
      <c r="G188" s="516"/>
      <c r="H188" s="516">
        <f>'CF adjs'!E120</f>
        <v>0</v>
      </c>
      <c r="I188" s="516" t="s">
        <v>412</v>
      </c>
    </row>
    <row r="189" spans="1:9" x14ac:dyDescent="0.2">
      <c r="B189" s="507"/>
      <c r="C189" s="508"/>
      <c r="F189" s="515" t="s">
        <v>335</v>
      </c>
      <c r="G189" s="516">
        <f>'CF adjs'!D121</f>
        <v>0</v>
      </c>
      <c r="H189" s="516">
        <f>'CF adjs'!E121</f>
        <v>0</v>
      </c>
      <c r="I189" s="516" t="s">
        <v>412</v>
      </c>
    </row>
    <row r="190" spans="1:9" x14ac:dyDescent="0.2">
      <c r="B190" s="507"/>
      <c r="C190" s="508"/>
      <c r="F190" s="497" t="s">
        <v>335</v>
      </c>
      <c r="G190" s="517">
        <f>'CF adjs'!D128</f>
        <v>0</v>
      </c>
      <c r="H190" s="517"/>
    </row>
    <row r="191" spans="1:9" x14ac:dyDescent="0.2">
      <c r="B191" s="507"/>
      <c r="C191" s="508"/>
      <c r="F191" s="497" t="s">
        <v>499</v>
      </c>
      <c r="G191" s="517"/>
      <c r="H191" s="517"/>
    </row>
    <row r="192" spans="1:9" x14ac:dyDescent="0.2">
      <c r="B192" s="507"/>
      <c r="C192" s="508"/>
      <c r="F192" s="497" t="s">
        <v>496</v>
      </c>
      <c r="G192" s="517"/>
      <c r="H192" s="517">
        <f>'CF adjs'!E276</f>
        <v>0</v>
      </c>
    </row>
    <row r="193" spans="1:9" x14ac:dyDescent="0.2">
      <c r="B193" s="507"/>
      <c r="C193" s="508"/>
      <c r="F193" s="497" t="s">
        <v>603</v>
      </c>
      <c r="G193" s="517">
        <f>'CF adjs'!D302</f>
        <v>0</v>
      </c>
      <c r="H193" s="517"/>
    </row>
    <row r="194" spans="1:9" x14ac:dyDescent="0.2">
      <c r="B194" s="507"/>
      <c r="C194" s="508"/>
      <c r="F194" s="515" t="s">
        <v>333</v>
      </c>
      <c r="G194" s="516">
        <f>'CF adjs'!D89</f>
        <v>0</v>
      </c>
      <c r="H194" s="517">
        <f>'CF adjs'!E89</f>
        <v>97791</v>
      </c>
      <c r="I194" s="516" t="s">
        <v>412</v>
      </c>
    </row>
    <row r="195" spans="1:9" x14ac:dyDescent="0.2">
      <c r="B195" s="507"/>
      <c r="C195" s="508"/>
      <c r="F195" s="497" t="s">
        <v>618</v>
      </c>
      <c r="G195" s="517">
        <f>'CF adjs'!D317</f>
        <v>0</v>
      </c>
      <c r="H195" s="517"/>
    </row>
    <row r="196" spans="1:9" x14ac:dyDescent="0.2">
      <c r="B196" s="507"/>
      <c r="C196" s="508"/>
      <c r="F196" s="515" t="s">
        <v>335</v>
      </c>
      <c r="G196" s="516"/>
      <c r="H196" s="516">
        <f>'CF adjs'!E140</f>
        <v>0</v>
      </c>
      <c r="I196" s="516" t="s">
        <v>412</v>
      </c>
    </row>
    <row r="197" spans="1:9" x14ac:dyDescent="0.2">
      <c r="B197" s="507"/>
      <c r="C197" s="508"/>
      <c r="F197" s="515" t="s">
        <v>335</v>
      </c>
      <c r="G197" s="516">
        <f>'CF adjs'!D137</f>
        <v>447000</v>
      </c>
      <c r="H197" s="517"/>
      <c r="I197" s="516" t="s">
        <v>412</v>
      </c>
    </row>
    <row r="198" spans="1:9" x14ac:dyDescent="0.2">
      <c r="B198" s="507"/>
      <c r="C198" s="508"/>
      <c r="F198" s="515" t="s">
        <v>335</v>
      </c>
      <c r="G198" s="516">
        <f>'CF adjs'!D139</f>
        <v>0</v>
      </c>
      <c r="H198" s="517"/>
      <c r="I198" s="516" t="s">
        <v>412</v>
      </c>
    </row>
    <row r="199" spans="1:9" x14ac:dyDescent="0.2">
      <c r="B199" s="507"/>
      <c r="C199" s="508"/>
      <c r="F199" s="515" t="s">
        <v>1092</v>
      </c>
      <c r="G199" s="516">
        <f>'CF adjs'!D361</f>
        <v>0</v>
      </c>
      <c r="H199" s="517"/>
      <c r="I199" s="516" t="s">
        <v>412</v>
      </c>
    </row>
    <row r="200" spans="1:9" x14ac:dyDescent="0.2">
      <c r="B200" s="507"/>
      <c r="C200" s="508"/>
      <c r="F200" s="515" t="s">
        <v>1092</v>
      </c>
      <c r="G200" s="516">
        <f>'CF adjs'!D362</f>
        <v>0</v>
      </c>
      <c r="H200" s="517"/>
      <c r="I200" s="516"/>
    </row>
    <row r="201" spans="1:9" x14ac:dyDescent="0.2">
      <c r="A201" s="501" t="s">
        <v>831</v>
      </c>
      <c r="B201" s="507">
        <v>0</v>
      </c>
      <c r="C201" s="508">
        <f>'C-BS'!T280</f>
        <v>0</v>
      </c>
      <c r="D201" s="495">
        <f>B201-C201</f>
        <v>0</v>
      </c>
      <c r="G201" s="517"/>
      <c r="H201" s="517">
        <f>D201</f>
        <v>0</v>
      </c>
      <c r="I201" s="495">
        <v>7</v>
      </c>
    </row>
    <row r="202" spans="1:9" x14ac:dyDescent="0.2">
      <c r="A202" s="535" t="s">
        <v>20</v>
      </c>
      <c r="B202" s="496">
        <v>1006366</v>
      </c>
      <c r="C202" s="495">
        <f>'C-BS'!T281</f>
        <v>85369</v>
      </c>
      <c r="D202" s="495">
        <f>B202-C202</f>
        <v>920997</v>
      </c>
      <c r="H202" s="495">
        <f>D202+G203-H203+G204-H204+G205-H205+G206-H206</f>
        <v>0</v>
      </c>
    </row>
    <row r="203" spans="1:9" x14ac:dyDescent="0.2">
      <c r="A203" s="523"/>
      <c r="B203" s="507"/>
      <c r="C203" s="508"/>
      <c r="F203" s="515" t="s">
        <v>335</v>
      </c>
      <c r="G203" s="508"/>
      <c r="H203" s="516">
        <f>'CF adjs'!E143</f>
        <v>894000</v>
      </c>
      <c r="I203" s="516" t="s">
        <v>412</v>
      </c>
    </row>
    <row r="204" spans="1:9" x14ac:dyDescent="0.2">
      <c r="A204" s="523"/>
      <c r="B204" s="507"/>
      <c r="C204" s="508"/>
      <c r="F204" s="515" t="s">
        <v>335</v>
      </c>
      <c r="G204" s="508"/>
      <c r="H204" s="516">
        <f>'CF adjs'!$E$133</f>
        <v>781</v>
      </c>
      <c r="I204" s="516" t="s">
        <v>412</v>
      </c>
    </row>
    <row r="205" spans="1:9" x14ac:dyDescent="0.2">
      <c r="A205" s="523"/>
      <c r="B205" s="507"/>
      <c r="C205" s="508"/>
      <c r="F205" s="515" t="s">
        <v>335</v>
      </c>
      <c r="G205" s="508"/>
      <c r="H205" s="516">
        <f>'CF adjs'!E119</f>
        <v>0</v>
      </c>
      <c r="I205" s="516" t="s">
        <v>412</v>
      </c>
    </row>
    <row r="206" spans="1:9" x14ac:dyDescent="0.2">
      <c r="A206" s="523"/>
      <c r="B206" s="507"/>
      <c r="C206" s="508"/>
      <c r="F206" s="515" t="s">
        <v>335</v>
      </c>
      <c r="G206" s="508"/>
      <c r="H206" s="516">
        <f>'CF adjs'!E117</f>
        <v>26216</v>
      </c>
      <c r="I206" s="516" t="s">
        <v>412</v>
      </c>
    </row>
    <row r="207" spans="1:9" x14ac:dyDescent="0.2">
      <c r="A207" s="523" t="s">
        <v>65</v>
      </c>
      <c r="B207" s="507">
        <v>0</v>
      </c>
      <c r="C207" s="508">
        <f>'C-BS'!T283</f>
        <v>0</v>
      </c>
      <c r="E207" s="495">
        <f>C207-B207</f>
        <v>0</v>
      </c>
      <c r="G207" s="495">
        <f>E207</f>
        <v>0</v>
      </c>
    </row>
    <row r="208" spans="1:9" x14ac:dyDescent="0.2">
      <c r="A208" s="523"/>
      <c r="B208" s="507"/>
      <c r="C208" s="508"/>
    </row>
    <row r="209" spans="1:9" x14ac:dyDescent="0.2">
      <c r="A209" s="523"/>
      <c r="B209" s="531">
        <f>B176+B183+B202+B207+B201</f>
        <v>47009014</v>
      </c>
      <c r="C209" s="532">
        <f>C176+C183+C202+C207+C201</f>
        <v>49769953</v>
      </c>
    </row>
    <row r="210" spans="1:9" x14ac:dyDescent="0.2">
      <c r="A210" s="523" t="s">
        <v>93</v>
      </c>
      <c r="B210" s="507"/>
      <c r="C210" s="508"/>
    </row>
    <row r="211" spans="1:9" x14ac:dyDescent="0.2">
      <c r="A211" s="523" t="s">
        <v>94</v>
      </c>
      <c r="B211" s="507">
        <v>0</v>
      </c>
      <c r="C211" s="508">
        <f>'C-BS'!T289</f>
        <v>0</v>
      </c>
      <c r="D211" s="495">
        <f>B211-C211</f>
        <v>0</v>
      </c>
      <c r="H211" s="518">
        <f>D211-H212+G212-H213+G213</f>
        <v>0</v>
      </c>
    </row>
    <row r="212" spans="1:9" x14ac:dyDescent="0.2">
      <c r="A212" s="523"/>
      <c r="B212" s="507"/>
      <c r="C212" s="508"/>
      <c r="F212" s="497" t="s">
        <v>603</v>
      </c>
      <c r="G212" s="517"/>
      <c r="H212" s="517">
        <f>'CF adjs'!E305</f>
        <v>0</v>
      </c>
    </row>
    <row r="213" spans="1:9" x14ac:dyDescent="0.2">
      <c r="A213" s="523"/>
      <c r="B213" s="507"/>
      <c r="C213" s="508"/>
      <c r="F213" s="515" t="s">
        <v>1092</v>
      </c>
      <c r="G213" s="517"/>
      <c r="H213" s="516">
        <f>'CF adjs'!E363</f>
        <v>0</v>
      </c>
      <c r="I213" s="516" t="s">
        <v>412</v>
      </c>
    </row>
    <row r="214" spans="1:9" x14ac:dyDescent="0.2">
      <c r="A214" s="542" t="s">
        <v>44</v>
      </c>
      <c r="B214" s="531">
        <f>B174+B209+B211</f>
        <v>79774751</v>
      </c>
      <c r="C214" s="532">
        <f>C174+C209+C211</f>
        <v>72605526</v>
      </c>
    </row>
    <row r="215" spans="1:9" ht="12" thickBot="1" x14ac:dyDescent="0.25">
      <c r="A215" s="542" t="s">
        <v>45</v>
      </c>
      <c r="B215" s="540">
        <f>B156+B214</f>
        <v>226940065</v>
      </c>
      <c r="C215" s="541">
        <f>C156+C214</f>
        <v>217540101</v>
      </c>
      <c r="D215" s="495">
        <f>SUM(D8:D214)</f>
        <v>15414075</v>
      </c>
      <c r="E215" s="495">
        <f>SUM(E8:E214)</f>
        <v>15414075</v>
      </c>
      <c r="G215" s="495">
        <f>SUM(G8:G214)</f>
        <v>17403273</v>
      </c>
      <c r="H215" s="495">
        <f>SUM(H8:H214)</f>
        <v>17403273</v>
      </c>
    </row>
    <row r="216" spans="1:9" ht="12" thickTop="1" x14ac:dyDescent="0.2">
      <c r="B216" s="507">
        <f>B122-B215</f>
        <v>0</v>
      </c>
      <c r="C216" s="508">
        <f>C122-C215</f>
        <v>0</v>
      </c>
    </row>
    <row r="217" spans="1:9" x14ac:dyDescent="0.2">
      <c r="B217" s="507"/>
      <c r="C217" s="508"/>
    </row>
  </sheetData>
  <mergeCells count="2">
    <mergeCell ref="D2:E2"/>
    <mergeCell ref="G2:H2"/>
  </mergeCells>
  <phoneticPr fontId="24" type="noConversion"/>
  <pageMargins left="0.7" right="0.7" top="0.28000000000000003" bottom="0.27" header="0.2" footer="0.21"/>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10"/>
  <sheetViews>
    <sheetView topLeftCell="A102" zoomScaleNormal="100" workbookViewId="0">
      <selection sqref="A1:AP1"/>
    </sheetView>
  </sheetViews>
  <sheetFormatPr defaultRowHeight="11.25" x14ac:dyDescent="0.2"/>
  <cols>
    <col min="1" max="1" width="3.85546875" style="47" bestFit="1" customWidth="1"/>
    <col min="2" max="2" width="6.7109375" style="47" customWidth="1"/>
    <col min="3" max="3" width="40.42578125" style="47" customWidth="1"/>
    <col min="4" max="5" width="10.7109375" style="50" bestFit="1" customWidth="1"/>
    <col min="6" max="6" width="10.7109375" style="63" customWidth="1"/>
    <col min="7" max="7" width="10.7109375" style="47" customWidth="1"/>
    <col min="8" max="8" width="10.85546875" style="47" customWidth="1"/>
    <col min="9" max="9" width="12.85546875" style="47" bestFit="1" customWidth="1"/>
    <col min="10" max="11" width="9.5703125" style="47" bestFit="1" customWidth="1"/>
    <col min="12" max="12" width="9.85546875" style="47" bestFit="1" customWidth="1"/>
    <col min="13" max="13" width="12" style="47" bestFit="1" customWidth="1"/>
    <col min="14" max="16384" width="9.140625" style="47"/>
  </cols>
  <sheetData>
    <row r="1" spans="1:6" x14ac:dyDescent="0.2">
      <c r="A1" s="61" t="s">
        <v>165</v>
      </c>
    </row>
    <row r="2" spans="1:6" x14ac:dyDescent="0.2">
      <c r="A2" s="61" t="s">
        <v>312</v>
      </c>
      <c r="D2" s="50">
        <f>D3-E3</f>
        <v>0</v>
      </c>
    </row>
    <row r="3" spans="1:6" x14ac:dyDescent="0.2">
      <c r="D3" s="50">
        <f>SUM(D7:D411)</f>
        <v>7441781</v>
      </c>
      <c r="E3" s="50">
        <f>SUM(E7:E411)</f>
        <v>7441781</v>
      </c>
    </row>
    <row r="5" spans="1:6" x14ac:dyDescent="0.2">
      <c r="D5" s="45" t="s">
        <v>158</v>
      </c>
      <c r="E5" s="45" t="s">
        <v>159</v>
      </c>
      <c r="F5" s="45"/>
    </row>
    <row r="7" spans="1:6" x14ac:dyDescent="0.2">
      <c r="A7" s="47">
        <v>1</v>
      </c>
      <c r="B7" s="47" t="s">
        <v>96</v>
      </c>
      <c r="D7" s="192">
        <v>15775</v>
      </c>
      <c r="E7" s="89"/>
      <c r="F7" s="106" t="s">
        <v>412</v>
      </c>
    </row>
    <row r="8" spans="1:6" x14ac:dyDescent="0.2">
      <c r="C8" s="47" t="s">
        <v>317</v>
      </c>
      <c r="D8" s="89"/>
      <c r="E8" s="107">
        <v>15775</v>
      </c>
      <c r="F8" s="106" t="s">
        <v>412</v>
      </c>
    </row>
    <row r="9" spans="1:6" x14ac:dyDescent="0.2">
      <c r="D9" s="89"/>
      <c r="E9" s="89"/>
    </row>
    <row r="10" spans="1:6" x14ac:dyDescent="0.2">
      <c r="D10" s="89"/>
      <c r="E10" s="89"/>
    </row>
    <row r="11" spans="1:6" x14ac:dyDescent="0.2">
      <c r="A11" s="47">
        <v>2</v>
      </c>
      <c r="B11" s="47" t="s">
        <v>191</v>
      </c>
      <c r="D11" s="192">
        <v>442595</v>
      </c>
      <c r="E11" s="89"/>
      <c r="F11" s="106" t="s">
        <v>412</v>
      </c>
    </row>
    <row r="12" spans="1:6" x14ac:dyDescent="0.2">
      <c r="C12" s="47" t="s">
        <v>313</v>
      </c>
      <c r="D12" s="89"/>
      <c r="E12" s="572">
        <v>442595</v>
      </c>
      <c r="F12" s="106" t="s">
        <v>412</v>
      </c>
    </row>
    <row r="13" spans="1:6" x14ac:dyDescent="0.2">
      <c r="C13" s="47" t="s">
        <v>432</v>
      </c>
      <c r="D13" s="89"/>
      <c r="E13" s="573">
        <v>0</v>
      </c>
    </row>
    <row r="14" spans="1:6" x14ac:dyDescent="0.2">
      <c r="D14" s="89"/>
      <c r="E14" s="89"/>
    </row>
    <row r="15" spans="1:6" x14ac:dyDescent="0.2">
      <c r="D15" s="89"/>
      <c r="E15" s="89"/>
    </row>
    <row r="16" spans="1:6" x14ac:dyDescent="0.2">
      <c r="A16" s="47">
        <v>3</v>
      </c>
      <c r="B16" s="47" t="s">
        <v>121</v>
      </c>
      <c r="D16" s="89">
        <v>0</v>
      </c>
      <c r="E16" s="89"/>
    </row>
    <row r="17" spans="1:10" x14ac:dyDescent="0.2">
      <c r="B17" s="47" t="s">
        <v>1036</v>
      </c>
      <c r="D17" s="572">
        <v>0</v>
      </c>
      <c r="E17" s="89"/>
      <c r="F17" s="106" t="s">
        <v>412</v>
      </c>
    </row>
    <row r="18" spans="1:10" x14ac:dyDescent="0.2">
      <c r="B18" s="47" t="s">
        <v>1037</v>
      </c>
      <c r="D18" s="192">
        <f>70580</f>
        <v>70580</v>
      </c>
      <c r="E18" s="89"/>
      <c r="F18" s="106" t="s">
        <v>412</v>
      </c>
    </row>
    <row r="19" spans="1:10" x14ac:dyDescent="0.2">
      <c r="C19" s="47" t="s">
        <v>120</v>
      </c>
      <c r="D19" s="89"/>
      <c r="E19" s="192">
        <f>D18</f>
        <v>70580</v>
      </c>
      <c r="F19" s="106" t="s">
        <v>412</v>
      </c>
    </row>
    <row r="20" spans="1:10" x14ac:dyDescent="0.2">
      <c r="C20" s="47" t="s">
        <v>120</v>
      </c>
      <c r="D20" s="89"/>
      <c r="E20" s="256">
        <v>0</v>
      </c>
      <c r="F20" s="106" t="s">
        <v>412</v>
      </c>
    </row>
    <row r="21" spans="1:10" x14ac:dyDescent="0.2">
      <c r="D21" s="89"/>
      <c r="E21" s="89"/>
    </row>
    <row r="22" spans="1:10" x14ac:dyDescent="0.2">
      <c r="D22" s="89"/>
      <c r="E22" s="89"/>
    </row>
    <row r="23" spans="1:10" x14ac:dyDescent="0.2">
      <c r="A23" s="47">
        <v>4</v>
      </c>
      <c r="B23" s="47" t="s">
        <v>314</v>
      </c>
      <c r="D23" s="572">
        <v>193443</v>
      </c>
      <c r="E23" s="89"/>
      <c r="F23" s="106" t="s">
        <v>412</v>
      </c>
    </row>
    <row r="24" spans="1:10" x14ac:dyDescent="0.2">
      <c r="C24" s="47" t="s">
        <v>315</v>
      </c>
      <c r="D24" s="89"/>
      <c r="E24" s="192">
        <v>193443</v>
      </c>
      <c r="F24" s="106" t="s">
        <v>412</v>
      </c>
    </row>
    <row r="25" spans="1:10" x14ac:dyDescent="0.2">
      <c r="D25" s="89"/>
      <c r="E25" s="89"/>
    </row>
    <row r="26" spans="1:10" x14ac:dyDescent="0.2">
      <c r="D26" s="89"/>
      <c r="E26" s="89"/>
      <c r="H26" s="47" t="s">
        <v>672</v>
      </c>
      <c r="I26" s="47" t="s">
        <v>61</v>
      </c>
    </row>
    <row r="27" spans="1:10" x14ac:dyDescent="0.2">
      <c r="A27" s="47">
        <v>5</v>
      </c>
      <c r="B27" s="47" t="s">
        <v>963</v>
      </c>
      <c r="D27" s="192">
        <v>0</v>
      </c>
      <c r="E27" s="574"/>
      <c r="G27" s="47" t="s">
        <v>961</v>
      </c>
      <c r="H27" s="47">
        <v>328755</v>
      </c>
      <c r="I27" s="47">
        <v>665514</v>
      </c>
      <c r="J27" s="47">
        <f>SUM(H27:I27)</f>
        <v>994269</v>
      </c>
    </row>
    <row r="28" spans="1:10" x14ac:dyDescent="0.2">
      <c r="B28" s="47" t="s">
        <v>516</v>
      </c>
      <c r="D28" s="192"/>
      <c r="E28" s="574"/>
    </row>
    <row r="29" spans="1:10" x14ac:dyDescent="0.2">
      <c r="C29" s="47" t="s">
        <v>962</v>
      </c>
      <c r="D29" s="574"/>
      <c r="E29" s="107">
        <v>0</v>
      </c>
    </row>
    <row r="30" spans="1:10" x14ac:dyDescent="0.2">
      <c r="D30" s="89"/>
      <c r="E30" s="89"/>
    </row>
    <row r="31" spans="1:10" x14ac:dyDescent="0.2">
      <c r="D31" s="89"/>
      <c r="E31" s="89"/>
    </row>
    <row r="32" spans="1:10" x14ac:dyDescent="0.2">
      <c r="A32" s="47">
        <v>6</v>
      </c>
      <c r="B32" s="50" t="s">
        <v>1033</v>
      </c>
      <c r="C32" s="50"/>
      <c r="D32" s="256">
        <v>208625</v>
      </c>
      <c r="E32" s="574"/>
      <c r="F32" s="106" t="s">
        <v>412</v>
      </c>
    </row>
    <row r="33" spans="2:8" x14ac:dyDescent="0.2">
      <c r="B33" s="101"/>
      <c r="C33" s="101" t="s">
        <v>11</v>
      </c>
      <c r="D33" s="192">
        <v>0</v>
      </c>
      <c r="E33" s="256">
        <v>208625</v>
      </c>
      <c r="F33" s="106" t="s">
        <v>412</v>
      </c>
    </row>
    <row r="34" spans="2:8" x14ac:dyDescent="0.2">
      <c r="B34" s="50" t="s">
        <v>1020</v>
      </c>
      <c r="C34" s="101"/>
      <c r="D34" s="192">
        <v>0</v>
      </c>
      <c r="E34" s="89"/>
      <c r="F34" s="106" t="s">
        <v>412</v>
      </c>
      <c r="G34" s="47" t="s">
        <v>144</v>
      </c>
    </row>
    <row r="35" spans="2:8" x14ac:dyDescent="0.2">
      <c r="B35" s="50" t="s">
        <v>1021</v>
      </c>
      <c r="C35" s="101"/>
      <c r="D35" s="192">
        <v>356151</v>
      </c>
      <c r="E35" s="89"/>
      <c r="F35" s="106" t="s">
        <v>412</v>
      </c>
      <c r="G35" s="47" t="s">
        <v>149</v>
      </c>
    </row>
    <row r="36" spans="2:8" x14ac:dyDescent="0.2">
      <c r="B36" s="50" t="s">
        <v>1022</v>
      </c>
      <c r="C36" s="101"/>
      <c r="D36" s="256">
        <v>0</v>
      </c>
      <c r="E36" s="574"/>
      <c r="F36" s="106" t="s">
        <v>412</v>
      </c>
      <c r="G36" s="47" t="s">
        <v>1041</v>
      </c>
    </row>
    <row r="37" spans="2:8" x14ac:dyDescent="0.2">
      <c r="B37" s="50" t="s">
        <v>526</v>
      </c>
      <c r="C37" s="101"/>
      <c r="D37" s="256">
        <v>0</v>
      </c>
      <c r="E37" s="574"/>
      <c r="F37" s="106" t="s">
        <v>412</v>
      </c>
      <c r="G37" s="47" t="s">
        <v>346</v>
      </c>
    </row>
    <row r="38" spans="2:8" x14ac:dyDescent="0.2">
      <c r="B38" s="50" t="s">
        <v>584</v>
      </c>
      <c r="C38" s="101"/>
      <c r="D38" s="89">
        <v>0</v>
      </c>
      <c r="E38" s="89"/>
    </row>
    <row r="39" spans="2:8" x14ac:dyDescent="0.2">
      <c r="B39" s="50" t="s">
        <v>610</v>
      </c>
      <c r="C39" s="101"/>
      <c r="D39" s="256">
        <v>0</v>
      </c>
      <c r="E39" s="574"/>
      <c r="F39" s="106" t="s">
        <v>412</v>
      </c>
      <c r="G39" s="47" t="s">
        <v>148</v>
      </c>
    </row>
    <row r="40" spans="2:8" x14ac:dyDescent="0.2">
      <c r="B40" s="50" t="s">
        <v>589</v>
      </c>
      <c r="C40" s="101"/>
      <c r="D40" s="89">
        <v>0</v>
      </c>
      <c r="E40" s="89"/>
    </row>
    <row r="41" spans="2:8" x14ac:dyDescent="0.2">
      <c r="B41" s="50" t="s">
        <v>590</v>
      </c>
      <c r="C41" s="101"/>
      <c r="D41" s="256">
        <v>0</v>
      </c>
      <c r="E41" s="256"/>
      <c r="F41" s="106" t="s">
        <v>412</v>
      </c>
      <c r="G41" s="47" t="s">
        <v>147</v>
      </c>
    </row>
    <row r="42" spans="2:8" x14ac:dyDescent="0.2">
      <c r="B42" s="50" t="s">
        <v>816</v>
      </c>
      <c r="C42" s="101"/>
      <c r="D42" s="105">
        <v>0</v>
      </c>
      <c r="E42" s="89"/>
    </row>
    <row r="43" spans="2:8" x14ac:dyDescent="0.2">
      <c r="B43" s="50" t="s">
        <v>613</v>
      </c>
      <c r="C43" s="101"/>
      <c r="D43" s="89">
        <v>0</v>
      </c>
      <c r="E43" s="89"/>
    </row>
    <row r="44" spans="2:8" x14ac:dyDescent="0.2">
      <c r="B44" s="50" t="s">
        <v>1040</v>
      </c>
      <c r="C44" s="101"/>
      <c r="D44" s="572">
        <v>0</v>
      </c>
      <c r="E44" s="89"/>
      <c r="F44" s="106" t="s">
        <v>412</v>
      </c>
      <c r="G44" s="47" t="s">
        <v>144</v>
      </c>
      <c r="H44" s="47" t="s">
        <v>1044</v>
      </c>
    </row>
    <row r="45" spans="2:8" x14ac:dyDescent="0.2">
      <c r="B45" s="50" t="s">
        <v>1042</v>
      </c>
      <c r="C45" s="101"/>
      <c r="D45" s="572">
        <v>0</v>
      </c>
      <c r="E45" s="89"/>
      <c r="F45" s="106" t="s">
        <v>412</v>
      </c>
      <c r="G45" s="47" t="s">
        <v>149</v>
      </c>
      <c r="H45" s="47" t="s">
        <v>1044</v>
      </c>
    </row>
    <row r="46" spans="2:8" x14ac:dyDescent="0.2">
      <c r="B46" s="50" t="s">
        <v>1043</v>
      </c>
      <c r="C46" s="101"/>
      <c r="D46" s="572">
        <v>0</v>
      </c>
      <c r="E46" s="89"/>
      <c r="F46" s="106" t="s">
        <v>412</v>
      </c>
      <c r="G46" s="47" t="s">
        <v>61</v>
      </c>
      <c r="H46" s="47" t="s">
        <v>1044</v>
      </c>
    </row>
    <row r="47" spans="2:8" x14ac:dyDescent="0.2">
      <c r="B47" s="50" t="s">
        <v>591</v>
      </c>
      <c r="C47" s="101"/>
      <c r="D47" s="572">
        <v>0</v>
      </c>
      <c r="E47" s="89"/>
      <c r="F47" s="106" t="s">
        <v>412</v>
      </c>
      <c r="G47" s="47" t="s">
        <v>147</v>
      </c>
      <c r="H47" s="47" t="s">
        <v>1044</v>
      </c>
    </row>
    <row r="48" spans="2:8" x14ac:dyDescent="0.2">
      <c r="B48" s="101"/>
      <c r="C48" s="50" t="s">
        <v>894</v>
      </c>
      <c r="D48" s="575"/>
      <c r="E48" s="105">
        <v>0</v>
      </c>
      <c r="F48" s="106"/>
    </row>
    <row r="49" spans="2:8" x14ac:dyDescent="0.2">
      <c r="B49" s="101"/>
      <c r="C49" s="50" t="s">
        <v>586</v>
      </c>
      <c r="D49" s="575"/>
      <c r="E49" s="107">
        <v>0</v>
      </c>
      <c r="F49" s="106" t="s">
        <v>412</v>
      </c>
      <c r="G49" s="47" t="s">
        <v>1038</v>
      </c>
      <c r="H49" s="47" t="s">
        <v>1044</v>
      </c>
    </row>
    <row r="50" spans="2:8" x14ac:dyDescent="0.2">
      <c r="B50" s="101"/>
      <c r="C50" s="50" t="s">
        <v>587</v>
      </c>
      <c r="D50" s="89"/>
      <c r="E50" s="89">
        <v>0</v>
      </c>
      <c r="F50" s="106"/>
    </row>
    <row r="51" spans="2:8" x14ac:dyDescent="0.2">
      <c r="B51" s="101"/>
      <c r="C51" s="50" t="s">
        <v>596</v>
      </c>
      <c r="D51" s="89"/>
      <c r="E51" s="89">
        <v>0</v>
      </c>
      <c r="F51" s="106"/>
    </row>
    <row r="52" spans="2:8" x14ac:dyDescent="0.2">
      <c r="B52" s="101"/>
      <c r="C52" s="50" t="s">
        <v>815</v>
      </c>
      <c r="D52" s="89"/>
      <c r="E52" s="105">
        <v>0</v>
      </c>
      <c r="F52" s="106"/>
    </row>
    <row r="53" spans="2:8" x14ac:dyDescent="0.2">
      <c r="B53" s="101"/>
      <c r="C53" s="50" t="s">
        <v>1039</v>
      </c>
      <c r="D53" s="573"/>
      <c r="E53" s="572">
        <v>0</v>
      </c>
      <c r="F53" s="106" t="s">
        <v>412</v>
      </c>
      <c r="H53" s="47" t="s">
        <v>1044</v>
      </c>
    </row>
    <row r="54" spans="2:8" x14ac:dyDescent="0.2">
      <c r="B54" s="101"/>
      <c r="C54" s="50" t="s">
        <v>1017</v>
      </c>
      <c r="D54" s="573"/>
      <c r="E54" s="572">
        <v>0</v>
      </c>
      <c r="F54" s="106" t="s">
        <v>412</v>
      </c>
      <c r="G54" s="47" t="s">
        <v>144</v>
      </c>
    </row>
    <row r="55" spans="2:8" x14ac:dyDescent="0.2">
      <c r="B55" s="101"/>
      <c r="C55" s="50" t="s">
        <v>1018</v>
      </c>
      <c r="D55" s="573"/>
      <c r="E55" s="572">
        <v>179847</v>
      </c>
      <c r="F55" s="106" t="s">
        <v>412</v>
      </c>
    </row>
    <row r="56" spans="2:8" x14ac:dyDescent="0.2">
      <c r="B56" s="101"/>
      <c r="C56" s="50" t="s">
        <v>1019</v>
      </c>
      <c r="D56" s="573"/>
      <c r="E56" s="572">
        <v>0</v>
      </c>
      <c r="F56" s="106" t="s">
        <v>412</v>
      </c>
      <c r="G56" s="47" t="s">
        <v>1041</v>
      </c>
    </row>
    <row r="57" spans="2:8" x14ac:dyDescent="0.2">
      <c r="B57" s="101"/>
      <c r="C57" s="50" t="s">
        <v>592</v>
      </c>
      <c r="D57" s="89"/>
      <c r="E57" s="89">
        <v>0</v>
      </c>
      <c r="F57" s="106" t="s">
        <v>412</v>
      </c>
    </row>
    <row r="58" spans="2:8" x14ac:dyDescent="0.2">
      <c r="B58" s="101"/>
      <c r="C58" s="50" t="s">
        <v>593</v>
      </c>
      <c r="D58" s="89"/>
      <c r="E58" s="572">
        <v>0</v>
      </c>
      <c r="F58" s="106" t="s">
        <v>412</v>
      </c>
      <c r="G58" s="47" t="s">
        <v>147</v>
      </c>
    </row>
    <row r="59" spans="2:8" x14ac:dyDescent="0.2">
      <c r="B59" s="101"/>
      <c r="C59" s="50" t="s">
        <v>421</v>
      </c>
      <c r="D59" s="89"/>
      <c r="E59" s="572">
        <v>0</v>
      </c>
      <c r="F59" s="106" t="s">
        <v>412</v>
      </c>
      <c r="G59" s="47" t="s">
        <v>148</v>
      </c>
    </row>
    <row r="60" spans="2:8" x14ac:dyDescent="0.2">
      <c r="B60" s="101"/>
      <c r="C60" s="50" t="s">
        <v>615</v>
      </c>
      <c r="D60" s="89"/>
      <c r="E60" s="89">
        <v>0</v>
      </c>
    </row>
    <row r="61" spans="2:8" x14ac:dyDescent="0.2">
      <c r="B61" s="101"/>
      <c r="C61" s="50" t="s">
        <v>1023</v>
      </c>
      <c r="D61" s="89"/>
      <c r="E61" s="256">
        <v>0</v>
      </c>
      <c r="F61" s="106" t="s">
        <v>412</v>
      </c>
      <c r="G61" s="47" t="s">
        <v>144</v>
      </c>
    </row>
    <row r="62" spans="2:8" x14ac:dyDescent="0.2">
      <c r="B62" s="101"/>
      <c r="C62" s="50" t="s">
        <v>1024</v>
      </c>
      <c r="D62" s="89"/>
      <c r="E62" s="256">
        <v>176304</v>
      </c>
      <c r="F62" s="106" t="s">
        <v>412</v>
      </c>
      <c r="G62" s="47" t="s">
        <v>149</v>
      </c>
    </row>
    <row r="63" spans="2:8" x14ac:dyDescent="0.2">
      <c r="B63" s="101"/>
      <c r="C63" s="50" t="s">
        <v>1025</v>
      </c>
      <c r="D63" s="89"/>
      <c r="E63" s="256">
        <v>0</v>
      </c>
      <c r="F63" s="106" t="s">
        <v>412</v>
      </c>
      <c r="G63" s="47" t="s">
        <v>1041</v>
      </c>
    </row>
    <row r="64" spans="2:8" x14ac:dyDescent="0.2">
      <c r="B64" s="101"/>
      <c r="C64" s="50" t="s">
        <v>525</v>
      </c>
      <c r="D64" s="89"/>
      <c r="E64" s="256">
        <v>0</v>
      </c>
      <c r="F64" s="106" t="s">
        <v>412</v>
      </c>
      <c r="G64" s="47" t="s">
        <v>346</v>
      </c>
    </row>
    <row r="65" spans="1:14" x14ac:dyDescent="0.2">
      <c r="B65" s="101"/>
      <c r="C65" s="50" t="s">
        <v>585</v>
      </c>
      <c r="D65" s="89"/>
      <c r="E65" s="105">
        <v>0</v>
      </c>
    </row>
    <row r="66" spans="1:14" x14ac:dyDescent="0.2">
      <c r="B66" s="101"/>
      <c r="C66" s="50" t="s">
        <v>611</v>
      </c>
      <c r="D66" s="89"/>
      <c r="E66" s="256">
        <v>0</v>
      </c>
      <c r="F66" s="106" t="s">
        <v>412</v>
      </c>
      <c r="G66" s="47" t="s">
        <v>148</v>
      </c>
    </row>
    <row r="67" spans="1:14" x14ac:dyDescent="0.2">
      <c r="B67" s="101"/>
      <c r="C67" s="50" t="s">
        <v>594</v>
      </c>
      <c r="D67" s="89"/>
      <c r="E67" s="105">
        <v>0</v>
      </c>
    </row>
    <row r="68" spans="1:14" x14ac:dyDescent="0.2">
      <c r="B68" s="101"/>
      <c r="C68" s="50" t="s">
        <v>595</v>
      </c>
      <c r="D68" s="89"/>
      <c r="E68" s="256">
        <v>0</v>
      </c>
      <c r="F68" s="106" t="s">
        <v>412</v>
      </c>
      <c r="G68" s="47" t="s">
        <v>147</v>
      </c>
    </row>
    <row r="69" spans="1:14" x14ac:dyDescent="0.2">
      <c r="B69" s="101"/>
      <c r="C69" s="50" t="s">
        <v>527</v>
      </c>
      <c r="D69" s="89"/>
      <c r="E69" s="105">
        <v>0</v>
      </c>
    </row>
    <row r="70" spans="1:14" x14ac:dyDescent="0.2">
      <c r="B70" s="101"/>
      <c r="C70" s="50" t="s">
        <v>612</v>
      </c>
      <c r="D70" s="89"/>
      <c r="E70" s="105">
        <v>0</v>
      </c>
    </row>
    <row r="71" spans="1:14" x14ac:dyDescent="0.2">
      <c r="B71" s="50"/>
      <c r="C71" s="50" t="s">
        <v>614</v>
      </c>
      <c r="D71" s="89"/>
      <c r="E71" s="105">
        <v>0</v>
      </c>
    </row>
    <row r="72" spans="1:14" x14ac:dyDescent="0.2">
      <c r="D72" s="557"/>
      <c r="E72" s="557"/>
    </row>
    <row r="73" spans="1:14" x14ac:dyDescent="0.2">
      <c r="D73" s="557">
        <f>SUM(D32:D72)</f>
        <v>564776</v>
      </c>
      <c r="E73" s="557">
        <f>SUM(E32:E72)</f>
        <v>564776</v>
      </c>
      <c r="H73" s="47" t="s">
        <v>144</v>
      </c>
      <c r="K73" s="47" t="s">
        <v>346</v>
      </c>
      <c r="N73" s="47" t="s">
        <v>148</v>
      </c>
    </row>
    <row r="74" spans="1:14" x14ac:dyDescent="0.2">
      <c r="D74" s="557">
        <f>D73-E73</f>
        <v>0</v>
      </c>
      <c r="E74" s="557"/>
      <c r="H74" s="87" t="s">
        <v>1026</v>
      </c>
      <c r="I74" s="87" t="s">
        <v>528</v>
      </c>
      <c r="J74" s="87" t="s">
        <v>700</v>
      </c>
      <c r="K74" s="47" t="s">
        <v>493</v>
      </c>
      <c r="L74" s="47" t="s">
        <v>502</v>
      </c>
      <c r="M74" s="47" t="s">
        <v>503</v>
      </c>
      <c r="N74" s="47" t="s">
        <v>1057</v>
      </c>
    </row>
    <row r="75" spans="1:14" x14ac:dyDescent="0.2">
      <c r="D75" s="557"/>
      <c r="E75" s="557"/>
    </row>
    <row r="76" spans="1:14" x14ac:dyDescent="0.2">
      <c r="A76" s="47">
        <v>7</v>
      </c>
      <c r="B76" s="47" t="s">
        <v>122</v>
      </c>
      <c r="D76" s="572">
        <f>O88</f>
        <v>60821</v>
      </c>
      <c r="E76" s="89"/>
      <c r="F76" s="106" t="s">
        <v>412</v>
      </c>
      <c r="G76" s="47" t="s">
        <v>1045</v>
      </c>
      <c r="H76" s="110">
        <v>10766</v>
      </c>
      <c r="I76" s="111">
        <v>0</v>
      </c>
      <c r="J76" s="111">
        <v>2819</v>
      </c>
      <c r="K76" s="111">
        <v>0</v>
      </c>
      <c r="L76" s="111">
        <v>0</v>
      </c>
      <c r="M76" s="111">
        <v>0</v>
      </c>
      <c r="N76" s="112">
        <v>6599</v>
      </c>
    </row>
    <row r="77" spans="1:14" x14ac:dyDescent="0.2">
      <c r="C77" s="47" t="s">
        <v>320</v>
      </c>
      <c r="D77" s="89"/>
      <c r="E77" s="192">
        <v>0</v>
      </c>
      <c r="G77" s="47" t="s">
        <v>1046</v>
      </c>
      <c r="H77" s="113">
        <v>10812</v>
      </c>
      <c r="I77" s="65">
        <v>0</v>
      </c>
      <c r="J77" s="65">
        <v>2833</v>
      </c>
      <c r="K77" s="65">
        <v>0</v>
      </c>
      <c r="L77" s="65">
        <v>0</v>
      </c>
      <c r="M77" s="65">
        <v>0</v>
      </c>
      <c r="N77" s="114">
        <v>6629</v>
      </c>
    </row>
    <row r="78" spans="1:14" x14ac:dyDescent="0.2">
      <c r="B78" s="47" t="s">
        <v>78</v>
      </c>
      <c r="D78" s="574"/>
      <c r="E78" s="579"/>
      <c r="G78" s="47" t="s">
        <v>1047</v>
      </c>
      <c r="H78" s="113">
        <v>10858</v>
      </c>
      <c r="I78" s="65">
        <v>0</v>
      </c>
      <c r="J78" s="65">
        <v>2846</v>
      </c>
      <c r="K78" s="65">
        <v>0</v>
      </c>
      <c r="L78" s="65">
        <v>0</v>
      </c>
      <c r="M78" s="65">
        <v>0</v>
      </c>
      <c r="N78" s="114">
        <v>6659</v>
      </c>
    </row>
    <row r="79" spans="1:14" x14ac:dyDescent="0.2">
      <c r="C79" s="47" t="s">
        <v>598</v>
      </c>
      <c r="D79" s="89"/>
      <c r="E79" s="579">
        <v>60821</v>
      </c>
      <c r="G79" s="47" t="s">
        <v>1048</v>
      </c>
      <c r="H79" s="113">
        <v>0</v>
      </c>
      <c r="I79" s="65">
        <v>0</v>
      </c>
      <c r="J79" s="65">
        <v>0</v>
      </c>
      <c r="K79" s="65">
        <v>0</v>
      </c>
      <c r="L79" s="65">
        <v>0</v>
      </c>
      <c r="M79" s="65">
        <v>0</v>
      </c>
      <c r="N79" s="114">
        <v>0</v>
      </c>
    </row>
    <row r="80" spans="1:14" x14ac:dyDescent="0.2">
      <c r="B80" s="47" t="s">
        <v>321</v>
      </c>
      <c r="D80" s="579">
        <v>3259</v>
      </c>
      <c r="E80" s="192">
        <v>0</v>
      </c>
      <c r="F80" s="106" t="s">
        <v>412</v>
      </c>
      <c r="G80" s="47" t="s">
        <v>1049</v>
      </c>
      <c r="H80" s="113">
        <v>0</v>
      </c>
      <c r="I80" s="65">
        <v>0</v>
      </c>
      <c r="J80" s="65">
        <v>0</v>
      </c>
      <c r="K80" s="65">
        <v>0</v>
      </c>
      <c r="L80" s="65">
        <v>0</v>
      </c>
      <c r="M80" s="65">
        <v>0</v>
      </c>
      <c r="N80" s="114">
        <v>0</v>
      </c>
    </row>
    <row r="81" spans="1:15" x14ac:dyDescent="0.2">
      <c r="C81" s="47" t="s">
        <v>1348</v>
      </c>
      <c r="D81" s="192">
        <v>0</v>
      </c>
      <c r="E81" s="579">
        <v>3259</v>
      </c>
      <c r="G81" s="47" t="s">
        <v>1050</v>
      </c>
      <c r="H81" s="113">
        <v>0</v>
      </c>
      <c r="I81" s="65">
        <v>0</v>
      </c>
      <c r="J81" s="65">
        <v>0</v>
      </c>
      <c r="K81" s="65">
        <v>0</v>
      </c>
      <c r="L81" s="65">
        <v>0</v>
      </c>
      <c r="M81" s="65">
        <v>0</v>
      </c>
      <c r="N81" s="114">
        <v>0</v>
      </c>
    </row>
    <row r="82" spans="1:15" x14ac:dyDescent="0.2">
      <c r="B82" s="101" t="s">
        <v>1070</v>
      </c>
      <c r="D82" s="192">
        <v>0</v>
      </c>
      <c r="E82" s="579"/>
      <c r="F82" s="106" t="s">
        <v>412</v>
      </c>
      <c r="G82" s="47" t="s">
        <v>1051</v>
      </c>
      <c r="H82" s="113">
        <v>0</v>
      </c>
      <c r="I82" s="65">
        <v>0</v>
      </c>
      <c r="J82" s="65">
        <v>0</v>
      </c>
      <c r="K82" s="65">
        <v>0</v>
      </c>
      <c r="L82" s="65">
        <v>0</v>
      </c>
      <c r="M82" s="65">
        <v>0</v>
      </c>
      <c r="N82" s="114">
        <v>0</v>
      </c>
    </row>
    <row r="83" spans="1:15" x14ac:dyDescent="0.2">
      <c r="C83" s="47" t="s">
        <v>478</v>
      </c>
      <c r="D83" s="579"/>
      <c r="E83" s="107">
        <v>0</v>
      </c>
      <c r="G83" s="47" t="s">
        <v>1052</v>
      </c>
      <c r="H83" s="113">
        <v>0</v>
      </c>
      <c r="I83" s="65">
        <v>0</v>
      </c>
      <c r="J83" s="65">
        <v>0</v>
      </c>
      <c r="K83" s="65">
        <v>0</v>
      </c>
      <c r="L83" s="65">
        <v>0</v>
      </c>
      <c r="M83" s="65">
        <v>0</v>
      </c>
      <c r="N83" s="114">
        <v>0</v>
      </c>
    </row>
    <row r="84" spans="1:15" x14ac:dyDescent="0.2">
      <c r="B84" s="47" t="s">
        <v>934</v>
      </c>
      <c r="D84" s="107">
        <v>1229353</v>
      </c>
      <c r="E84" s="580"/>
      <c r="F84" s="106" t="s">
        <v>412</v>
      </c>
      <c r="G84" s="47" t="s">
        <v>1053</v>
      </c>
      <c r="H84" s="113">
        <v>0</v>
      </c>
      <c r="I84" s="65">
        <v>0</v>
      </c>
      <c r="J84" s="65">
        <v>0</v>
      </c>
      <c r="K84" s="65">
        <v>0</v>
      </c>
      <c r="L84" s="65">
        <v>0</v>
      </c>
      <c r="M84" s="65">
        <v>0</v>
      </c>
      <c r="N84" s="114">
        <v>0</v>
      </c>
    </row>
    <row r="85" spans="1:15" x14ac:dyDescent="0.2">
      <c r="C85" s="47" t="s">
        <v>702</v>
      </c>
      <c r="D85" s="89"/>
      <c r="E85" s="256">
        <v>1229353</v>
      </c>
      <c r="F85" s="106" t="s">
        <v>412</v>
      </c>
      <c r="G85" s="47" t="s">
        <v>1054</v>
      </c>
      <c r="H85" s="113">
        <v>0</v>
      </c>
      <c r="I85" s="65">
        <v>0</v>
      </c>
      <c r="J85" s="65">
        <v>0</v>
      </c>
      <c r="K85" s="65">
        <v>0</v>
      </c>
      <c r="L85" s="65">
        <v>0</v>
      </c>
      <c r="M85" s="65">
        <v>0</v>
      </c>
      <c r="N85" s="114">
        <v>0</v>
      </c>
    </row>
    <row r="86" spans="1:15" x14ac:dyDescent="0.2">
      <c r="B86" s="47" t="s">
        <v>1349</v>
      </c>
      <c r="D86" s="256">
        <v>97791</v>
      </c>
      <c r="E86" s="580"/>
      <c r="F86" s="106" t="s">
        <v>412</v>
      </c>
      <c r="G86" s="47" t="s">
        <v>1055</v>
      </c>
      <c r="H86" s="113">
        <v>0</v>
      </c>
      <c r="I86" s="65">
        <v>0</v>
      </c>
      <c r="J86" s="65">
        <v>0</v>
      </c>
      <c r="K86" s="65">
        <v>0</v>
      </c>
      <c r="L86" s="65">
        <v>0</v>
      </c>
      <c r="M86" s="65">
        <v>0</v>
      </c>
      <c r="N86" s="114">
        <v>0</v>
      </c>
    </row>
    <row r="87" spans="1:15" x14ac:dyDescent="0.2">
      <c r="C87" s="47" t="s">
        <v>1027</v>
      </c>
      <c r="D87" s="89"/>
      <c r="E87" s="107"/>
      <c r="F87" s="106" t="s">
        <v>412</v>
      </c>
      <c r="G87" s="47" t="s">
        <v>1056</v>
      </c>
      <c r="H87" s="115">
        <v>0</v>
      </c>
      <c r="I87" s="116">
        <v>0</v>
      </c>
      <c r="J87" s="116">
        <v>0</v>
      </c>
      <c r="K87" s="116">
        <v>0</v>
      </c>
      <c r="L87" s="116">
        <v>0</v>
      </c>
      <c r="M87" s="116">
        <v>0</v>
      </c>
      <c r="N87" s="117">
        <v>0</v>
      </c>
    </row>
    <row r="88" spans="1:15" x14ac:dyDescent="0.2">
      <c r="C88" s="101" t="s">
        <v>1068</v>
      </c>
      <c r="D88" s="256"/>
      <c r="E88" s="256">
        <v>0</v>
      </c>
      <c r="F88" s="106" t="s">
        <v>412</v>
      </c>
      <c r="H88" s="47">
        <f t="shared" ref="H88:N88" si="0">SUM(H76:H87)</f>
        <v>32436</v>
      </c>
      <c r="I88" s="47">
        <f t="shared" si="0"/>
        <v>0</v>
      </c>
      <c r="J88" s="47">
        <f t="shared" si="0"/>
        <v>8498</v>
      </c>
      <c r="K88" s="47">
        <f t="shared" si="0"/>
        <v>0</v>
      </c>
      <c r="L88" s="47">
        <f t="shared" si="0"/>
        <v>0</v>
      </c>
      <c r="M88" s="47">
        <f t="shared" si="0"/>
        <v>0</v>
      </c>
      <c r="N88" s="47">
        <f t="shared" si="0"/>
        <v>19887</v>
      </c>
      <c r="O88" s="47">
        <f>SUM(H88:N88)</f>
        <v>60821</v>
      </c>
    </row>
    <row r="89" spans="1:15" x14ac:dyDescent="0.2">
      <c r="B89" s="101" t="s">
        <v>703</v>
      </c>
      <c r="D89" s="256"/>
      <c r="E89" s="256">
        <v>97791</v>
      </c>
      <c r="F89" s="106" t="s">
        <v>412</v>
      </c>
    </row>
    <row r="90" spans="1:15" x14ac:dyDescent="0.2">
      <c r="B90" s="47" t="s">
        <v>1095</v>
      </c>
      <c r="D90" s="256"/>
      <c r="E90" s="256"/>
      <c r="F90" s="106" t="s">
        <v>412</v>
      </c>
      <c r="M90" s="47" t="s">
        <v>1076</v>
      </c>
      <c r="O90" s="47">
        <f>O88-E80</f>
        <v>60821</v>
      </c>
    </row>
    <row r="91" spans="1:15" x14ac:dyDescent="0.2">
      <c r="B91" s="101"/>
      <c r="C91" s="47" t="s">
        <v>1094</v>
      </c>
      <c r="D91" s="256"/>
      <c r="E91" s="107"/>
      <c r="F91" s="106" t="s">
        <v>412</v>
      </c>
      <c r="H91" s="47" t="s">
        <v>597</v>
      </c>
      <c r="I91" s="47">
        <v>2000000</v>
      </c>
      <c r="K91" s="47" t="s">
        <v>504</v>
      </c>
      <c r="L91" s="47">
        <v>0</v>
      </c>
      <c r="M91" s="47">
        <v>0</v>
      </c>
    </row>
    <row r="92" spans="1:15" x14ac:dyDescent="0.2">
      <c r="B92" s="101"/>
      <c r="D92" s="256"/>
      <c r="E92" s="256"/>
      <c r="F92" s="106"/>
      <c r="H92" s="47" t="s">
        <v>701</v>
      </c>
      <c r="I92" s="47">
        <v>10000000</v>
      </c>
      <c r="K92" s="47" t="s">
        <v>505</v>
      </c>
      <c r="L92" s="47">
        <v>6071302</v>
      </c>
      <c r="M92" s="47">
        <v>6071302</v>
      </c>
    </row>
    <row r="93" spans="1:15" x14ac:dyDescent="0.2">
      <c r="D93" s="89"/>
      <c r="E93" s="580"/>
      <c r="I93" s="47">
        <f>SUM(I91:I92)</f>
        <v>12000000</v>
      </c>
      <c r="K93" s="47" t="s">
        <v>597</v>
      </c>
      <c r="L93" s="47">
        <v>4395931</v>
      </c>
      <c r="M93" s="47">
        <v>4395931</v>
      </c>
    </row>
    <row r="94" spans="1:15" x14ac:dyDescent="0.2">
      <c r="D94" s="557">
        <f>SUM(D76:D93)</f>
        <v>1391224</v>
      </c>
      <c r="E94" s="557">
        <f>SUM(E76:E93)</f>
        <v>1391224</v>
      </c>
      <c r="K94" s="47" t="s">
        <v>701</v>
      </c>
      <c r="L94" s="47">
        <v>770806</v>
      </c>
      <c r="M94" s="47">
        <v>1969497</v>
      </c>
    </row>
    <row r="95" spans="1:15" x14ac:dyDescent="0.2">
      <c r="D95" s="557"/>
      <c r="E95" s="557"/>
      <c r="K95" s="47" t="s">
        <v>933</v>
      </c>
      <c r="L95" s="291">
        <f>SUM(L91:L94)</f>
        <v>11238039</v>
      </c>
      <c r="M95" s="106">
        <f>SUM(M91:M94)</f>
        <v>12436730</v>
      </c>
    </row>
    <row r="96" spans="1:15" x14ac:dyDescent="0.2">
      <c r="A96" s="189">
        <v>8</v>
      </c>
      <c r="B96" s="47" t="s">
        <v>332</v>
      </c>
      <c r="D96" s="560">
        <v>0</v>
      </c>
      <c r="E96" s="557"/>
      <c r="K96" s="47" t="s">
        <v>1093</v>
      </c>
      <c r="M96" s="47">
        <v>8000000</v>
      </c>
    </row>
    <row r="97" spans="1:16" x14ac:dyDescent="0.2">
      <c r="B97" s="47" t="s">
        <v>11</v>
      </c>
      <c r="D97" s="557">
        <v>0</v>
      </c>
      <c r="E97" s="557"/>
    </row>
    <row r="98" spans="1:16" x14ac:dyDescent="0.2">
      <c r="B98" s="47" t="s">
        <v>13</v>
      </c>
      <c r="D98" s="557">
        <v>0</v>
      </c>
      <c r="E98" s="557"/>
    </row>
    <row r="99" spans="1:16" x14ac:dyDescent="0.2">
      <c r="B99" s="47" t="s">
        <v>873</v>
      </c>
      <c r="D99" s="561"/>
      <c r="E99" s="557"/>
    </row>
    <row r="100" spans="1:16" x14ac:dyDescent="0.2">
      <c r="C100" s="47" t="s">
        <v>687</v>
      </c>
      <c r="D100" s="557"/>
      <c r="E100" s="558"/>
    </row>
    <row r="101" spans="1:16" x14ac:dyDescent="0.2">
      <c r="C101" s="47" t="s">
        <v>688</v>
      </c>
      <c r="D101" s="557"/>
      <c r="E101" s="561"/>
    </row>
    <row r="102" spans="1:16" x14ac:dyDescent="0.2">
      <c r="C102" s="47" t="s">
        <v>310</v>
      </c>
      <c r="D102" s="557"/>
      <c r="E102" s="565">
        <f>SUM(D96:D98)</f>
        <v>0</v>
      </c>
    </row>
    <row r="103" spans="1:16" x14ac:dyDescent="0.2">
      <c r="D103" s="557"/>
      <c r="E103" s="557"/>
    </row>
    <row r="104" spans="1:16" x14ac:dyDescent="0.2">
      <c r="D104" s="89"/>
      <c r="E104" s="89"/>
    </row>
    <row r="105" spans="1:16" x14ac:dyDescent="0.2">
      <c r="A105" s="47">
        <v>9</v>
      </c>
      <c r="B105" s="47" t="s">
        <v>318</v>
      </c>
      <c r="D105" s="572">
        <v>582437</v>
      </c>
      <c r="E105" s="89"/>
      <c r="F105" s="106" t="s">
        <v>412</v>
      </c>
    </row>
    <row r="106" spans="1:16" x14ac:dyDescent="0.2">
      <c r="B106" s="47" t="s">
        <v>12</v>
      </c>
      <c r="D106" s="574">
        <v>0</v>
      </c>
      <c r="E106" s="89"/>
    </row>
    <row r="107" spans="1:16" x14ac:dyDescent="0.2">
      <c r="C107" s="47" t="s">
        <v>319</v>
      </c>
      <c r="D107" s="89"/>
      <c r="E107" s="572">
        <v>582437</v>
      </c>
      <c r="F107" s="106" t="s">
        <v>412</v>
      </c>
      <c r="H107" s="47" t="s">
        <v>506</v>
      </c>
    </row>
    <row r="108" spans="1:16" x14ac:dyDescent="0.2">
      <c r="D108" s="89"/>
      <c r="E108" s="89"/>
      <c r="H108" s="47">
        <f>36452+2008</f>
        <v>38460</v>
      </c>
      <c r="O108" s="47" t="s">
        <v>147</v>
      </c>
      <c r="P108" s="47" t="s">
        <v>148</v>
      </c>
    </row>
    <row r="109" spans="1:16" x14ac:dyDescent="0.2">
      <c r="D109" s="557"/>
      <c r="E109" s="557"/>
      <c r="G109" s="47" t="s">
        <v>494</v>
      </c>
      <c r="H109" s="47" t="s">
        <v>147</v>
      </c>
      <c r="I109" s="47" t="s">
        <v>149</v>
      </c>
      <c r="J109" s="47" t="s">
        <v>148</v>
      </c>
      <c r="K109" s="47" t="s">
        <v>346</v>
      </c>
      <c r="M109" s="47" t="s">
        <v>150</v>
      </c>
      <c r="O109" s="47" t="s">
        <v>1060</v>
      </c>
      <c r="P109" s="47" t="s">
        <v>1061</v>
      </c>
    </row>
    <row r="110" spans="1:16" x14ac:dyDescent="0.2">
      <c r="A110" s="189">
        <v>10</v>
      </c>
      <c r="B110" s="47" t="s">
        <v>480</v>
      </c>
      <c r="D110" s="572">
        <f>L114+M113</f>
        <v>483242</v>
      </c>
      <c r="E110" s="563"/>
      <c r="F110" s="106" t="s">
        <v>412</v>
      </c>
      <c r="G110" s="110"/>
      <c r="H110" s="111">
        <v>6060</v>
      </c>
      <c r="I110" s="111">
        <f>1322*3</f>
        <v>3966</v>
      </c>
      <c r="J110" s="111">
        <v>26216</v>
      </c>
      <c r="K110" s="112">
        <v>447000</v>
      </c>
      <c r="L110" s="47">
        <f>SUM(G110:K110)</f>
        <v>483242</v>
      </c>
      <c r="O110" s="47">
        <v>36431</v>
      </c>
      <c r="P110" s="47">
        <v>139237</v>
      </c>
    </row>
    <row r="111" spans="1:16" x14ac:dyDescent="0.2">
      <c r="A111" s="62"/>
      <c r="B111" s="47" t="s">
        <v>1071</v>
      </c>
      <c r="D111" s="572">
        <v>0</v>
      </c>
      <c r="E111" s="563"/>
      <c r="F111" s="106" t="s">
        <v>412</v>
      </c>
      <c r="G111" s="113"/>
      <c r="H111" s="65"/>
      <c r="I111" s="65"/>
      <c r="J111" s="65"/>
      <c r="K111" s="114">
        <v>0</v>
      </c>
      <c r="L111" s="47">
        <f>SUM(G111:K111)</f>
        <v>0</v>
      </c>
      <c r="O111" s="47">
        <v>16160</v>
      </c>
      <c r="P111" s="47">
        <v>242048</v>
      </c>
    </row>
    <row r="112" spans="1:16" x14ac:dyDescent="0.2">
      <c r="A112" s="62"/>
      <c r="B112" s="47" t="s">
        <v>1097</v>
      </c>
      <c r="D112" s="256">
        <v>0</v>
      </c>
      <c r="E112" s="105"/>
      <c r="F112" s="106" t="s">
        <v>412</v>
      </c>
      <c r="G112" s="113">
        <v>0</v>
      </c>
      <c r="H112" s="65"/>
      <c r="I112" s="65"/>
      <c r="J112" s="65"/>
      <c r="K112" s="114">
        <v>0</v>
      </c>
      <c r="L112" s="47">
        <f>SUM(G112:K112)</f>
        <v>0</v>
      </c>
      <c r="O112" s="47">
        <v>-36452</v>
      </c>
    </row>
    <row r="113" spans="1:16" x14ac:dyDescent="0.2">
      <c r="A113" s="62"/>
      <c r="C113" s="47" t="s">
        <v>1096</v>
      </c>
      <c r="D113" s="572"/>
      <c r="E113" s="256">
        <v>0</v>
      </c>
      <c r="F113" s="106" t="s">
        <v>412</v>
      </c>
      <c r="G113" s="115"/>
      <c r="H113" s="116"/>
      <c r="I113" s="116"/>
      <c r="J113" s="116"/>
      <c r="K113" s="117">
        <v>0</v>
      </c>
      <c r="L113" s="47">
        <f>SUM(G113:K113)</f>
        <v>0</v>
      </c>
    </row>
    <row r="114" spans="1:16" x14ac:dyDescent="0.2">
      <c r="A114" s="62"/>
      <c r="C114" s="47" t="s">
        <v>1072</v>
      </c>
      <c r="D114" s="572"/>
      <c r="E114" s="256">
        <v>0</v>
      </c>
      <c r="F114" s="106" t="s">
        <v>412</v>
      </c>
      <c r="G114" s="47">
        <f t="shared" ref="G114:L114" si="1">SUM(G110:G113)</f>
        <v>0</v>
      </c>
      <c r="H114" s="47">
        <f t="shared" si="1"/>
        <v>6060</v>
      </c>
      <c r="I114" s="47">
        <f t="shared" si="1"/>
        <v>3966</v>
      </c>
      <c r="J114" s="47">
        <f t="shared" si="1"/>
        <v>26216</v>
      </c>
      <c r="K114" s="47">
        <f t="shared" si="1"/>
        <v>447000</v>
      </c>
      <c r="L114" s="47">
        <f t="shared" si="1"/>
        <v>483242</v>
      </c>
    </row>
    <row r="115" spans="1:16" x14ac:dyDescent="0.2">
      <c r="A115" s="62"/>
      <c r="C115" s="47" t="s">
        <v>704</v>
      </c>
      <c r="D115" s="559"/>
      <c r="E115" s="561">
        <v>5278</v>
      </c>
      <c r="F115" s="106" t="s">
        <v>412</v>
      </c>
      <c r="I115" s="47">
        <v>52034</v>
      </c>
      <c r="J115" s="47">
        <v>103129</v>
      </c>
      <c r="O115" s="47">
        <f>SUM(O110:O114)</f>
        <v>16139</v>
      </c>
      <c r="P115" s="47">
        <f>SUM(P110:P114)</f>
        <v>381285</v>
      </c>
    </row>
    <row r="116" spans="1:16" x14ac:dyDescent="0.2">
      <c r="A116" s="62"/>
      <c r="C116" s="47" t="s">
        <v>529</v>
      </c>
      <c r="D116" s="559">
        <v>33362</v>
      </c>
      <c r="E116" s="561">
        <v>0</v>
      </c>
      <c r="F116" s="106" t="s">
        <v>412</v>
      </c>
      <c r="H116" s="47" t="s">
        <v>481</v>
      </c>
    </row>
    <row r="117" spans="1:16" x14ac:dyDescent="0.2">
      <c r="C117" s="47" t="s">
        <v>1343</v>
      </c>
      <c r="D117" s="559"/>
      <c r="E117" s="561">
        <v>26216</v>
      </c>
      <c r="F117" s="106" t="s">
        <v>412</v>
      </c>
      <c r="I117" s="47">
        <f>I114-I115</f>
        <v>-48068</v>
      </c>
      <c r="J117" s="47">
        <f>J114-J115</f>
        <v>-76913</v>
      </c>
    </row>
    <row r="118" spans="1:16" x14ac:dyDescent="0.2">
      <c r="B118" s="47" t="s">
        <v>1098</v>
      </c>
      <c r="D118" s="561">
        <v>0</v>
      </c>
      <c r="E118" s="561"/>
      <c r="F118" s="106" t="s">
        <v>412</v>
      </c>
    </row>
    <row r="119" spans="1:16" x14ac:dyDescent="0.2">
      <c r="C119" s="47" t="s">
        <v>1032</v>
      </c>
      <c r="D119" s="556"/>
      <c r="E119" s="561">
        <v>0</v>
      </c>
      <c r="F119" s="106" t="s">
        <v>412</v>
      </c>
    </row>
    <row r="120" spans="1:16" x14ac:dyDescent="0.2">
      <c r="C120" s="47" t="s">
        <v>1058</v>
      </c>
      <c r="D120" s="556"/>
      <c r="E120" s="561">
        <v>0</v>
      </c>
      <c r="F120" s="106" t="s">
        <v>412</v>
      </c>
    </row>
    <row r="121" spans="1:16" x14ac:dyDescent="0.2">
      <c r="C121" s="47" t="s">
        <v>887</v>
      </c>
      <c r="D121" s="556"/>
      <c r="E121" s="256">
        <v>0</v>
      </c>
      <c r="F121" s="106" t="s">
        <v>412</v>
      </c>
    </row>
    <row r="122" spans="1:16" x14ac:dyDescent="0.2">
      <c r="C122" s="47" t="s">
        <v>691</v>
      </c>
      <c r="D122" s="559"/>
      <c r="E122" s="559">
        <v>37329</v>
      </c>
      <c r="G122" s="47">
        <f>D154-E156</f>
        <v>0</v>
      </c>
      <c r="J122" s="47">
        <f>D154-E156-E160</f>
        <v>0</v>
      </c>
    </row>
    <row r="123" spans="1:16" x14ac:dyDescent="0.2">
      <c r="B123" s="47" t="s">
        <v>885</v>
      </c>
      <c r="D123" s="561"/>
      <c r="E123" s="556"/>
    </row>
    <row r="124" spans="1:16" x14ac:dyDescent="0.2">
      <c r="C124" s="47" t="s">
        <v>671</v>
      </c>
      <c r="D124" s="563"/>
      <c r="E124" s="556">
        <v>0</v>
      </c>
    </row>
    <row r="125" spans="1:16" x14ac:dyDescent="0.2">
      <c r="C125" s="47" t="s">
        <v>667</v>
      </c>
      <c r="D125" s="561"/>
      <c r="E125" s="556"/>
    </row>
    <row r="126" spans="1:16" x14ac:dyDescent="0.2">
      <c r="C126" s="47" t="s">
        <v>884</v>
      </c>
      <c r="D126" s="563"/>
      <c r="E126" s="556"/>
      <c r="G126" s="47" t="s">
        <v>938</v>
      </c>
    </row>
    <row r="127" spans="1:16" x14ac:dyDescent="0.2">
      <c r="C127" s="47" t="s">
        <v>886</v>
      </c>
      <c r="D127" s="563"/>
      <c r="E127" s="556"/>
    </row>
    <row r="128" spans="1:16" x14ac:dyDescent="0.2">
      <c r="B128" s="47" t="s">
        <v>814</v>
      </c>
      <c r="D128" s="561">
        <v>0</v>
      </c>
      <c r="E128" s="556"/>
    </row>
    <row r="129" spans="1:12" x14ac:dyDescent="0.2">
      <c r="C129" s="62" t="s">
        <v>960</v>
      </c>
      <c r="D129" s="563"/>
      <c r="E129" s="556">
        <v>0</v>
      </c>
      <c r="K129" s="47">
        <f>D134</f>
        <v>0</v>
      </c>
    </row>
    <row r="130" spans="1:12" x14ac:dyDescent="0.2">
      <c r="B130" s="47" t="s">
        <v>747</v>
      </c>
      <c r="D130" s="561">
        <v>0</v>
      </c>
      <c r="E130" s="556"/>
      <c r="K130" s="47">
        <f>-E145</f>
        <v>0</v>
      </c>
    </row>
    <row r="131" spans="1:12" x14ac:dyDescent="0.2">
      <c r="C131" s="47" t="s">
        <v>746</v>
      </c>
      <c r="D131" s="557"/>
      <c r="E131" s="566">
        <v>0</v>
      </c>
    </row>
    <row r="132" spans="1:12" x14ac:dyDescent="0.2">
      <c r="C132" s="47" t="s">
        <v>939</v>
      </c>
      <c r="D132" s="557"/>
      <c r="E132" s="566"/>
    </row>
    <row r="133" spans="1:12" x14ac:dyDescent="0.2">
      <c r="C133" s="47" t="s">
        <v>704</v>
      </c>
      <c r="D133" s="557"/>
      <c r="E133" s="566">
        <v>781</v>
      </c>
      <c r="K133" s="47">
        <f>SUM(K129:K132)</f>
        <v>0</v>
      </c>
      <c r="L133" s="47">
        <v>-1398867</v>
      </c>
    </row>
    <row r="134" spans="1:12" x14ac:dyDescent="0.2">
      <c r="B134" s="47" t="s">
        <v>747</v>
      </c>
      <c r="D134" s="561">
        <v>0</v>
      </c>
      <c r="E134" s="562"/>
      <c r="F134" s="106" t="s">
        <v>412</v>
      </c>
      <c r="L134" s="47">
        <f>K133-L133</f>
        <v>1398867</v>
      </c>
    </row>
    <row r="135" spans="1:12" x14ac:dyDescent="0.2">
      <c r="C135" s="47" t="s">
        <v>1031</v>
      </c>
      <c r="D135" s="557"/>
      <c r="E135" s="558">
        <v>0</v>
      </c>
      <c r="F135" s="106" t="s">
        <v>412</v>
      </c>
      <c r="L135" s="47">
        <f>-E131</f>
        <v>0</v>
      </c>
    </row>
    <row r="136" spans="1:12" x14ac:dyDescent="0.2">
      <c r="D136" s="562"/>
      <c r="E136" s="562"/>
    </row>
    <row r="137" spans="1:12" x14ac:dyDescent="0.2">
      <c r="A137" s="47" t="s">
        <v>1059</v>
      </c>
      <c r="B137" s="47" t="s">
        <v>1028</v>
      </c>
      <c r="D137" s="561">
        <v>447000</v>
      </c>
      <c r="E137" s="566"/>
      <c r="F137" s="106" t="s">
        <v>412</v>
      </c>
    </row>
    <row r="138" spans="1:12" x14ac:dyDescent="0.2">
      <c r="B138" s="47" t="s">
        <v>1073</v>
      </c>
      <c r="D138" s="561">
        <v>0</v>
      </c>
      <c r="E138" s="566"/>
      <c r="F138" s="106" t="s">
        <v>412</v>
      </c>
      <c r="G138" s="50">
        <f>SUM(D154:D161)</f>
        <v>0</v>
      </c>
      <c r="H138" s="50">
        <f>SUM(E154:E161)</f>
        <v>0</v>
      </c>
    </row>
    <row r="139" spans="1:12" x14ac:dyDescent="0.2">
      <c r="B139" s="47" t="s">
        <v>887</v>
      </c>
      <c r="D139" s="561">
        <v>0</v>
      </c>
      <c r="E139" s="566"/>
      <c r="F139" s="106" t="s">
        <v>412</v>
      </c>
      <c r="G139" s="50">
        <f>G138-H138</f>
        <v>0</v>
      </c>
      <c r="H139" s="50"/>
    </row>
    <row r="140" spans="1:12" x14ac:dyDescent="0.2">
      <c r="C140" s="47" t="s">
        <v>1074</v>
      </c>
      <c r="D140" s="561"/>
      <c r="E140" s="556">
        <v>0</v>
      </c>
      <c r="F140" s="106" t="s">
        <v>412</v>
      </c>
    </row>
    <row r="141" spans="1:12" x14ac:dyDescent="0.2">
      <c r="C141" s="47" t="s">
        <v>1141</v>
      </c>
      <c r="D141" s="561"/>
      <c r="E141" s="556">
        <v>0</v>
      </c>
      <c r="F141" s="106" t="s">
        <v>1140</v>
      </c>
    </row>
    <row r="142" spans="1:12" x14ac:dyDescent="0.2">
      <c r="A142" s="47" t="s">
        <v>1059</v>
      </c>
      <c r="B142" s="47" t="s">
        <v>1030</v>
      </c>
      <c r="D142" s="561">
        <v>0</v>
      </c>
      <c r="E142" s="562"/>
      <c r="F142" s="106" t="s">
        <v>412</v>
      </c>
    </row>
    <row r="143" spans="1:12" x14ac:dyDescent="0.2">
      <c r="A143" s="47" t="s">
        <v>1059</v>
      </c>
      <c r="C143" s="47" t="s">
        <v>272</v>
      </c>
      <c r="D143" s="562"/>
      <c r="E143" s="556">
        <v>894000</v>
      </c>
      <c r="F143" s="106" t="s">
        <v>412</v>
      </c>
    </row>
    <row r="144" spans="1:12" x14ac:dyDescent="0.2">
      <c r="A144" s="47" t="s">
        <v>1059</v>
      </c>
      <c r="C144" s="47" t="s">
        <v>1029</v>
      </c>
      <c r="D144" s="562"/>
      <c r="E144" s="556">
        <v>0</v>
      </c>
      <c r="F144" s="106" t="s">
        <v>412</v>
      </c>
    </row>
    <row r="145" spans="1:5" x14ac:dyDescent="0.2">
      <c r="C145" s="189" t="s">
        <v>935</v>
      </c>
      <c r="D145" s="557"/>
      <c r="E145" s="566">
        <v>0</v>
      </c>
    </row>
    <row r="146" spans="1:5" x14ac:dyDescent="0.2">
      <c r="D146" s="557"/>
      <c r="E146" s="556"/>
    </row>
    <row r="147" spans="1:5" x14ac:dyDescent="0.2">
      <c r="D147" s="557"/>
      <c r="E147" s="565"/>
    </row>
    <row r="148" spans="1:5" x14ac:dyDescent="0.2">
      <c r="D148" s="557">
        <f>SUM(D110:D147)</f>
        <v>963604</v>
      </c>
      <c r="E148" s="557">
        <f>SUM(E110:E147)</f>
        <v>963604</v>
      </c>
    </row>
    <row r="149" spans="1:5" x14ac:dyDescent="0.2">
      <c r="D149" s="557"/>
      <c r="E149" s="557"/>
    </row>
    <row r="150" spans="1:5" x14ac:dyDescent="0.2">
      <c r="B150" s="47" t="s">
        <v>382</v>
      </c>
      <c r="D150" s="557">
        <v>0</v>
      </c>
      <c r="E150" s="557"/>
    </row>
    <row r="151" spans="1:5" x14ac:dyDescent="0.2">
      <c r="C151" s="47" t="s">
        <v>139</v>
      </c>
      <c r="D151" s="557"/>
      <c r="E151" s="557">
        <v>0</v>
      </c>
    </row>
    <row r="152" spans="1:5" x14ac:dyDescent="0.2">
      <c r="D152" s="557"/>
      <c r="E152" s="557"/>
    </row>
    <row r="153" spans="1:5" x14ac:dyDescent="0.2">
      <c r="D153" s="557"/>
      <c r="E153" s="557"/>
    </row>
    <row r="154" spans="1:5" x14ac:dyDescent="0.2">
      <c r="A154" s="47">
        <v>11</v>
      </c>
      <c r="B154" s="47" t="s">
        <v>336</v>
      </c>
      <c r="D154" s="558">
        <v>0</v>
      </c>
      <c r="E154" s="557"/>
    </row>
    <row r="155" spans="1:5" x14ac:dyDescent="0.2">
      <c r="C155" s="47" t="s">
        <v>530</v>
      </c>
      <c r="D155" s="558"/>
      <c r="E155" s="558">
        <v>0</v>
      </c>
    </row>
    <row r="156" spans="1:5" x14ac:dyDescent="0.2">
      <c r="C156" s="47" t="s">
        <v>337</v>
      </c>
      <c r="D156" s="557"/>
      <c r="E156" s="567">
        <v>0</v>
      </c>
    </row>
    <row r="157" spans="1:5" x14ac:dyDescent="0.2">
      <c r="B157" s="47" t="s">
        <v>339</v>
      </c>
      <c r="D157" s="558">
        <v>0</v>
      </c>
      <c r="E157" s="557"/>
    </row>
    <row r="158" spans="1:5" x14ac:dyDescent="0.2">
      <c r="B158" s="47" t="s">
        <v>110</v>
      </c>
      <c r="D158" s="561">
        <v>0</v>
      </c>
      <c r="E158" s="561"/>
    </row>
    <row r="159" spans="1:5" x14ac:dyDescent="0.2">
      <c r="B159" s="47" t="s">
        <v>343</v>
      </c>
      <c r="D159" s="558">
        <v>0</v>
      </c>
      <c r="E159" s="561"/>
    </row>
    <row r="160" spans="1:5" x14ac:dyDescent="0.2">
      <c r="C160" s="47" t="s">
        <v>507</v>
      </c>
      <c r="D160" s="557"/>
      <c r="E160" s="558">
        <v>0</v>
      </c>
    </row>
    <row r="161" spans="1:15" x14ac:dyDescent="0.2">
      <c r="C161" s="47" t="s">
        <v>338</v>
      </c>
      <c r="D161" s="557"/>
      <c r="E161" s="558">
        <v>0</v>
      </c>
      <c r="H161" s="47" t="s">
        <v>144</v>
      </c>
      <c r="I161" s="47" t="s">
        <v>147</v>
      </c>
      <c r="J161" s="47" t="s">
        <v>148</v>
      </c>
      <c r="K161" s="47" t="s">
        <v>149</v>
      </c>
      <c r="L161" s="47" t="s">
        <v>1350</v>
      </c>
      <c r="M161" s="47" t="s">
        <v>340</v>
      </c>
      <c r="N161" s="47" t="s">
        <v>346</v>
      </c>
    </row>
    <row r="162" spans="1:15" x14ac:dyDescent="0.2">
      <c r="D162" s="557"/>
      <c r="E162" s="557"/>
      <c r="H162" s="50">
        <v>47</v>
      </c>
      <c r="I162" s="50">
        <v>5</v>
      </c>
      <c r="J162" s="50">
        <v>3</v>
      </c>
      <c r="K162" s="50">
        <v>7</v>
      </c>
      <c r="L162" s="50">
        <v>0</v>
      </c>
      <c r="M162" s="50">
        <v>0</v>
      </c>
      <c r="N162" s="50">
        <v>7573</v>
      </c>
    </row>
    <row r="163" spans="1:15" x14ac:dyDescent="0.2">
      <c r="D163" s="557"/>
      <c r="E163" s="557"/>
      <c r="H163" s="50"/>
      <c r="I163" s="50">
        <v>0</v>
      </c>
      <c r="J163" s="50"/>
      <c r="K163" s="50">
        <v>50764</v>
      </c>
      <c r="L163" s="50"/>
      <c r="M163" s="50">
        <v>0</v>
      </c>
      <c r="N163" s="50">
        <v>0</v>
      </c>
    </row>
    <row r="164" spans="1:15" x14ac:dyDescent="0.2">
      <c r="D164" s="557"/>
      <c r="E164" s="557"/>
      <c r="H164" s="166">
        <f>SUM(H162:H163)</f>
        <v>47</v>
      </c>
      <c r="I164" s="166">
        <f t="shared" ref="I164:N164" si="2">SUM(I162:I163)</f>
        <v>5</v>
      </c>
      <c r="J164" s="166">
        <f t="shared" si="2"/>
        <v>3</v>
      </c>
      <c r="K164" s="166">
        <f t="shared" si="2"/>
        <v>50771</v>
      </c>
      <c r="L164" s="166">
        <f t="shared" si="2"/>
        <v>0</v>
      </c>
      <c r="M164" s="166">
        <f t="shared" si="2"/>
        <v>0</v>
      </c>
      <c r="N164" s="166">
        <f t="shared" si="2"/>
        <v>7573</v>
      </c>
      <c r="O164" s="47">
        <f>SUM(H164:N164)</f>
        <v>58399</v>
      </c>
    </row>
    <row r="165" spans="1:15" x14ac:dyDescent="0.2">
      <c r="D165" s="557"/>
      <c r="E165" s="557"/>
    </row>
    <row r="166" spans="1:15" x14ac:dyDescent="0.2">
      <c r="D166" s="89"/>
      <c r="E166" s="89"/>
    </row>
    <row r="167" spans="1:15" x14ac:dyDescent="0.2">
      <c r="A167" s="47">
        <v>12</v>
      </c>
      <c r="B167" s="47" t="s">
        <v>100</v>
      </c>
      <c r="D167" s="572">
        <f>O164</f>
        <v>58399</v>
      </c>
      <c r="E167" s="105"/>
      <c r="F167" s="106" t="s">
        <v>412</v>
      </c>
    </row>
    <row r="168" spans="1:15" x14ac:dyDescent="0.2">
      <c r="C168" s="47" t="s">
        <v>341</v>
      </c>
      <c r="D168" s="105"/>
      <c r="E168" s="572">
        <v>58399</v>
      </c>
      <c r="F168" s="106" t="s">
        <v>412</v>
      </c>
    </row>
    <row r="169" spans="1:15" x14ac:dyDescent="0.2">
      <c r="C169" s="47" t="s">
        <v>342</v>
      </c>
      <c r="D169" s="89"/>
      <c r="E169" s="89">
        <v>0</v>
      </c>
    </row>
    <row r="170" spans="1:15" x14ac:dyDescent="0.2">
      <c r="D170" s="89"/>
      <c r="E170" s="89"/>
    </row>
    <row r="171" spans="1:15" x14ac:dyDescent="0.2">
      <c r="D171" s="557"/>
      <c r="E171" s="557"/>
    </row>
    <row r="172" spans="1:15" x14ac:dyDescent="0.2">
      <c r="A172" s="47">
        <v>13</v>
      </c>
      <c r="B172" s="47" t="s">
        <v>343</v>
      </c>
      <c r="D172" s="557"/>
      <c r="E172" s="557"/>
    </row>
    <row r="173" spans="1:15" x14ac:dyDescent="0.2">
      <c r="B173" s="47" t="s">
        <v>482</v>
      </c>
      <c r="D173" s="564"/>
      <c r="E173" s="558">
        <f>J149</f>
        <v>0</v>
      </c>
    </row>
    <row r="174" spans="1:15" x14ac:dyDescent="0.2">
      <c r="C174" s="47" t="s">
        <v>10</v>
      </c>
      <c r="D174" s="561">
        <f>E173</f>
        <v>0</v>
      </c>
      <c r="E174" s="565"/>
    </row>
    <row r="175" spans="1:15" x14ac:dyDescent="0.2">
      <c r="D175" s="557"/>
      <c r="E175" s="557"/>
    </row>
    <row r="176" spans="1:15" x14ac:dyDescent="0.2">
      <c r="D176" s="557"/>
      <c r="E176" s="557"/>
    </row>
    <row r="177" spans="1:5" x14ac:dyDescent="0.2">
      <c r="D177" s="557"/>
      <c r="E177" s="557"/>
    </row>
    <row r="178" spans="1:5" x14ac:dyDescent="0.2">
      <c r="A178" s="47">
        <v>14</v>
      </c>
      <c r="B178" s="47" t="s">
        <v>415</v>
      </c>
      <c r="D178" s="565">
        <v>0</v>
      </c>
      <c r="E178" s="557"/>
    </row>
    <row r="179" spans="1:5" x14ac:dyDescent="0.2">
      <c r="D179" s="557"/>
      <c r="E179" s="557"/>
    </row>
    <row r="180" spans="1:5" x14ac:dyDescent="0.2">
      <c r="C180" s="47" t="s">
        <v>416</v>
      </c>
      <c r="D180" s="557"/>
      <c r="E180" s="565">
        <v>0</v>
      </c>
    </row>
    <row r="181" spans="1:5" x14ac:dyDescent="0.2">
      <c r="C181" s="47" t="s">
        <v>347</v>
      </c>
      <c r="D181" s="557"/>
      <c r="E181" s="565">
        <v>0</v>
      </c>
    </row>
    <row r="182" spans="1:5" x14ac:dyDescent="0.2">
      <c r="C182" s="47" t="s">
        <v>11</v>
      </c>
      <c r="D182" s="557"/>
      <c r="E182" s="565">
        <v>0</v>
      </c>
    </row>
    <row r="183" spans="1:5" x14ac:dyDescent="0.2">
      <c r="C183" s="47" t="s">
        <v>417</v>
      </c>
      <c r="D183" s="557"/>
      <c r="E183" s="565">
        <v>0</v>
      </c>
    </row>
    <row r="184" spans="1:5" x14ac:dyDescent="0.2">
      <c r="C184" s="47" t="s">
        <v>413</v>
      </c>
      <c r="D184" s="557"/>
      <c r="E184" s="565">
        <v>0</v>
      </c>
    </row>
    <row r="185" spans="1:5" x14ac:dyDescent="0.2">
      <c r="C185" s="47" t="s">
        <v>351</v>
      </c>
      <c r="D185" s="557"/>
      <c r="E185" s="564">
        <f>D178-E180-E181-E182-E183-E184-E186</f>
        <v>0</v>
      </c>
    </row>
    <row r="186" spans="1:5" x14ac:dyDescent="0.2">
      <c r="C186" s="47" t="s">
        <v>414</v>
      </c>
      <c r="D186" s="557"/>
      <c r="E186" s="565">
        <v>0</v>
      </c>
    </row>
    <row r="187" spans="1:5" x14ac:dyDescent="0.2">
      <c r="D187" s="557"/>
      <c r="E187" s="557"/>
    </row>
    <row r="188" spans="1:5" x14ac:dyDescent="0.2">
      <c r="D188" s="557"/>
      <c r="E188" s="557"/>
    </row>
    <row r="189" spans="1:5" x14ac:dyDescent="0.2">
      <c r="A189" s="47">
        <v>15</v>
      </c>
      <c r="B189" s="47" t="s">
        <v>295</v>
      </c>
      <c r="D189" s="557"/>
      <c r="E189" s="557"/>
    </row>
    <row r="190" spans="1:5" x14ac:dyDescent="0.2">
      <c r="C190" s="47" t="s">
        <v>13</v>
      </c>
      <c r="D190" s="557"/>
      <c r="E190" s="557"/>
    </row>
    <row r="191" spans="1:5" x14ac:dyDescent="0.2">
      <c r="D191" s="557"/>
      <c r="E191" s="557"/>
    </row>
    <row r="192" spans="1:5" x14ac:dyDescent="0.2">
      <c r="D192" s="557"/>
      <c r="E192" s="557"/>
    </row>
    <row r="193" spans="1:5" x14ac:dyDescent="0.2">
      <c r="D193" s="557"/>
      <c r="E193" s="557"/>
    </row>
    <row r="194" spans="1:5" x14ac:dyDescent="0.2">
      <c r="A194" s="47">
        <v>16</v>
      </c>
      <c r="B194" s="47" t="s">
        <v>381</v>
      </c>
      <c r="D194" s="564">
        <v>0</v>
      </c>
      <c r="E194" s="557"/>
    </row>
    <row r="195" spans="1:5" x14ac:dyDescent="0.2">
      <c r="B195" s="47" t="s">
        <v>383</v>
      </c>
      <c r="D195" s="565">
        <v>0</v>
      </c>
      <c r="E195" s="557"/>
    </row>
    <row r="196" spans="1:5" x14ac:dyDescent="0.2">
      <c r="B196" s="47" t="s">
        <v>386</v>
      </c>
      <c r="D196" s="564">
        <v>0</v>
      </c>
      <c r="E196" s="557"/>
    </row>
    <row r="197" spans="1:5" x14ac:dyDescent="0.2">
      <c r="C197" s="47" t="s">
        <v>384</v>
      </c>
      <c r="D197" s="557"/>
      <c r="E197" s="565">
        <v>0</v>
      </c>
    </row>
    <row r="198" spans="1:5" x14ac:dyDescent="0.2">
      <c r="C198" s="47" t="s">
        <v>338</v>
      </c>
      <c r="D198" s="557"/>
      <c r="E198" s="564">
        <v>0</v>
      </c>
    </row>
    <row r="199" spans="1:5" x14ac:dyDescent="0.2">
      <c r="C199" s="47" t="s">
        <v>13</v>
      </c>
      <c r="D199" s="557"/>
      <c r="E199" s="565">
        <v>0</v>
      </c>
    </row>
    <row r="200" spans="1:5" x14ac:dyDescent="0.2">
      <c r="D200" s="557"/>
      <c r="E200" s="557"/>
    </row>
    <row r="201" spans="1:5" x14ac:dyDescent="0.2">
      <c r="D201" s="557"/>
      <c r="E201" s="557"/>
    </row>
    <row r="202" spans="1:5" x14ac:dyDescent="0.2">
      <c r="D202" s="557"/>
      <c r="E202" s="557"/>
    </row>
    <row r="203" spans="1:5" x14ac:dyDescent="0.2">
      <c r="D203" s="557">
        <f>SUM(D194:D200)</f>
        <v>0</v>
      </c>
      <c r="E203" s="557">
        <f>SUM(E194:E200)</f>
        <v>0</v>
      </c>
    </row>
    <row r="204" spans="1:5" x14ac:dyDescent="0.2">
      <c r="D204" s="557">
        <f>D203-E203</f>
        <v>0</v>
      </c>
      <c r="E204" s="557"/>
    </row>
    <row r="205" spans="1:5" x14ac:dyDescent="0.2">
      <c r="D205" s="557"/>
      <c r="E205" s="557"/>
    </row>
    <row r="206" spans="1:5" x14ac:dyDescent="0.2">
      <c r="D206" s="557"/>
      <c r="E206" s="557"/>
    </row>
    <row r="207" spans="1:5" x14ac:dyDescent="0.2">
      <c r="A207" s="47">
        <v>17</v>
      </c>
      <c r="B207" s="47" t="s">
        <v>74</v>
      </c>
      <c r="D207" s="564">
        <v>0</v>
      </c>
      <c r="E207" s="557"/>
    </row>
    <row r="208" spans="1:5" x14ac:dyDescent="0.2">
      <c r="C208" s="47" t="s">
        <v>71</v>
      </c>
      <c r="D208" s="557"/>
      <c r="E208" s="565">
        <v>0</v>
      </c>
    </row>
    <row r="209" spans="1:6" x14ac:dyDescent="0.2">
      <c r="D209" s="557"/>
      <c r="E209" s="557"/>
    </row>
    <row r="210" spans="1:6" x14ac:dyDescent="0.2">
      <c r="D210" s="557"/>
      <c r="E210" s="557"/>
    </row>
    <row r="211" spans="1:6" x14ac:dyDescent="0.2">
      <c r="A211" s="47">
        <v>18</v>
      </c>
      <c r="B211" s="47" t="s">
        <v>402</v>
      </c>
      <c r="D211" s="565">
        <v>0</v>
      </c>
      <c r="E211" s="557"/>
    </row>
    <row r="212" spans="1:6" x14ac:dyDescent="0.2">
      <c r="C212" s="47" t="s">
        <v>126</v>
      </c>
      <c r="D212" s="557"/>
      <c r="E212" s="564">
        <v>0</v>
      </c>
    </row>
    <row r="213" spans="1:6" x14ac:dyDescent="0.2">
      <c r="D213" s="557"/>
      <c r="E213" s="557"/>
    </row>
    <row r="214" spans="1:6" x14ac:dyDescent="0.2">
      <c r="D214" s="557"/>
      <c r="E214" s="557"/>
    </row>
    <row r="215" spans="1:6" x14ac:dyDescent="0.2">
      <c r="A215" s="47">
        <v>19</v>
      </c>
      <c r="B215" s="62" t="s">
        <v>937</v>
      </c>
      <c r="D215" s="556">
        <v>0</v>
      </c>
      <c r="E215" s="563"/>
    </row>
    <row r="216" spans="1:6" x14ac:dyDescent="0.2">
      <c r="C216" s="47" t="s">
        <v>39</v>
      </c>
      <c r="D216" s="563"/>
      <c r="E216" s="556">
        <v>0</v>
      </c>
    </row>
    <row r="217" spans="1:6" x14ac:dyDescent="0.2">
      <c r="B217" s="47" t="s">
        <v>936</v>
      </c>
      <c r="D217" s="561">
        <v>0</v>
      </c>
      <c r="E217" s="556"/>
    </row>
    <row r="218" spans="1:6" x14ac:dyDescent="0.2">
      <c r="C218" s="47" t="s">
        <v>360</v>
      </c>
      <c r="D218" s="563"/>
      <c r="E218" s="556">
        <v>0</v>
      </c>
    </row>
    <row r="219" spans="1:6" x14ac:dyDescent="0.2">
      <c r="D219" s="89"/>
      <c r="E219" s="89"/>
    </row>
    <row r="220" spans="1:6" x14ac:dyDescent="0.2">
      <c r="C220" s="62" t="s">
        <v>1339</v>
      </c>
      <c r="D220" s="89"/>
      <c r="E220" s="256">
        <v>141840</v>
      </c>
      <c r="F220" s="106" t="s">
        <v>412</v>
      </c>
    </row>
    <row r="221" spans="1:6" x14ac:dyDescent="0.2">
      <c r="B221" s="47" t="s">
        <v>39</v>
      </c>
      <c r="D221" s="256">
        <v>141840</v>
      </c>
      <c r="E221" s="256"/>
      <c r="F221" s="106" t="s">
        <v>412</v>
      </c>
    </row>
    <row r="222" spans="1:6" x14ac:dyDescent="0.2">
      <c r="B222" s="47" t="s">
        <v>1340</v>
      </c>
      <c r="D222" s="256">
        <v>47871</v>
      </c>
      <c r="E222" s="256">
        <v>0</v>
      </c>
      <c r="F222" s="106" t="s">
        <v>412</v>
      </c>
    </row>
    <row r="223" spans="1:6" x14ac:dyDescent="0.2">
      <c r="C223" s="47" t="s">
        <v>360</v>
      </c>
      <c r="D223" s="89"/>
      <c r="E223" s="256">
        <v>47871</v>
      </c>
      <c r="F223" s="106" t="s">
        <v>412</v>
      </c>
    </row>
    <row r="224" spans="1:6" x14ac:dyDescent="0.2">
      <c r="D224" s="89"/>
      <c r="E224" s="89"/>
    </row>
    <row r="225" spans="1:5" x14ac:dyDescent="0.2">
      <c r="D225" s="557"/>
      <c r="E225" s="557"/>
    </row>
    <row r="226" spans="1:5" x14ac:dyDescent="0.2">
      <c r="D226" s="557"/>
      <c r="E226" s="557"/>
    </row>
    <row r="227" spans="1:5" x14ac:dyDescent="0.2">
      <c r="D227" s="557"/>
      <c r="E227" s="557"/>
    </row>
    <row r="228" spans="1:5" x14ac:dyDescent="0.2">
      <c r="A228" s="47">
        <v>20</v>
      </c>
      <c r="B228" s="47" t="s">
        <v>112</v>
      </c>
      <c r="D228" s="564">
        <v>0</v>
      </c>
      <c r="E228" s="557"/>
    </row>
    <row r="229" spans="1:5" x14ac:dyDescent="0.2">
      <c r="C229" s="47" t="s">
        <v>113</v>
      </c>
      <c r="D229" s="557"/>
      <c r="E229" s="564">
        <v>0</v>
      </c>
    </row>
    <row r="230" spans="1:5" x14ac:dyDescent="0.2">
      <c r="C230" s="47" t="s">
        <v>39</v>
      </c>
      <c r="D230" s="557"/>
      <c r="E230" s="565">
        <v>0</v>
      </c>
    </row>
    <row r="231" spans="1:5" x14ac:dyDescent="0.2">
      <c r="D231" s="557"/>
      <c r="E231" s="557"/>
    </row>
    <row r="232" spans="1:5" x14ac:dyDescent="0.2">
      <c r="D232" s="557"/>
      <c r="E232" s="557"/>
    </row>
    <row r="233" spans="1:5" x14ac:dyDescent="0.2">
      <c r="A233" s="47">
        <v>21</v>
      </c>
      <c r="B233" s="47" t="s">
        <v>13</v>
      </c>
      <c r="D233" s="565"/>
      <c r="E233" s="557"/>
    </row>
    <row r="234" spans="1:5" x14ac:dyDescent="0.2">
      <c r="C234" s="47" t="s">
        <v>39</v>
      </c>
      <c r="D234" s="557"/>
      <c r="E234" s="565"/>
    </row>
    <row r="235" spans="1:5" x14ac:dyDescent="0.2">
      <c r="D235" s="557"/>
      <c r="E235" s="557"/>
    </row>
    <row r="236" spans="1:5" x14ac:dyDescent="0.2">
      <c r="A236" s="47">
        <v>22</v>
      </c>
      <c r="B236" s="47" t="s">
        <v>350</v>
      </c>
      <c r="D236" s="565">
        <v>0</v>
      </c>
      <c r="E236" s="557"/>
    </row>
    <row r="237" spans="1:5" x14ac:dyDescent="0.2">
      <c r="C237" s="47" t="s">
        <v>418</v>
      </c>
      <c r="D237" s="557"/>
      <c r="E237" s="564">
        <v>0</v>
      </c>
    </row>
    <row r="238" spans="1:5" x14ac:dyDescent="0.2">
      <c r="D238" s="557"/>
      <c r="E238" s="557"/>
    </row>
    <row r="239" spans="1:5" x14ac:dyDescent="0.2">
      <c r="D239" s="565"/>
      <c r="E239" s="557"/>
    </row>
    <row r="240" spans="1:5" x14ac:dyDescent="0.2">
      <c r="A240" s="47">
        <v>23</v>
      </c>
      <c r="B240" s="47" t="s">
        <v>423</v>
      </c>
      <c r="D240" s="565">
        <v>0</v>
      </c>
      <c r="E240" s="557"/>
    </row>
    <row r="241" spans="1:10" x14ac:dyDescent="0.2">
      <c r="C241" s="47" t="s">
        <v>424</v>
      </c>
      <c r="D241" s="557"/>
      <c r="E241" s="564">
        <v>0</v>
      </c>
    </row>
    <row r="242" spans="1:10" x14ac:dyDescent="0.2">
      <c r="D242" s="557"/>
      <c r="E242" s="557"/>
    </row>
    <row r="243" spans="1:10" x14ac:dyDescent="0.2">
      <c r="D243" s="557"/>
      <c r="E243" s="557"/>
    </row>
    <row r="244" spans="1:10" x14ac:dyDescent="0.2">
      <c r="A244" s="47">
        <v>24</v>
      </c>
      <c r="B244" s="47" t="s">
        <v>422</v>
      </c>
      <c r="D244" s="565">
        <v>0</v>
      </c>
      <c r="E244" s="557"/>
    </row>
    <row r="245" spans="1:10" x14ac:dyDescent="0.2">
      <c r="C245" s="47" t="s">
        <v>426</v>
      </c>
      <c r="D245" s="557"/>
      <c r="E245" s="564">
        <v>0</v>
      </c>
    </row>
    <row r="246" spans="1:10" x14ac:dyDescent="0.2">
      <c r="C246" s="47" t="s">
        <v>421</v>
      </c>
      <c r="D246" s="557"/>
      <c r="E246" s="564">
        <v>0</v>
      </c>
    </row>
    <row r="247" spans="1:10" x14ac:dyDescent="0.2">
      <c r="D247" s="557"/>
      <c r="E247" s="557"/>
    </row>
    <row r="248" spans="1:10" x14ac:dyDescent="0.2">
      <c r="D248" s="557"/>
      <c r="E248" s="557"/>
    </row>
    <row r="249" spans="1:10" x14ac:dyDescent="0.2">
      <c r="D249" s="557"/>
      <c r="E249" s="557"/>
    </row>
    <row r="250" spans="1:10" x14ac:dyDescent="0.2">
      <c r="D250" s="565"/>
      <c r="E250" s="557"/>
    </row>
    <row r="251" spans="1:10" x14ac:dyDescent="0.2">
      <c r="D251" s="565"/>
      <c r="E251" s="557"/>
    </row>
    <row r="252" spans="1:10" x14ac:dyDescent="0.2">
      <c r="A252" s="47">
        <v>25</v>
      </c>
      <c r="B252" s="47" t="s">
        <v>425</v>
      </c>
      <c r="D252" s="566">
        <v>0</v>
      </c>
      <c r="E252" s="557"/>
      <c r="G252" s="47" t="s">
        <v>504</v>
      </c>
      <c r="H252" s="47" t="s">
        <v>505</v>
      </c>
      <c r="I252" s="47" t="s">
        <v>597</v>
      </c>
    </row>
    <row r="253" spans="1:10" x14ac:dyDescent="0.2">
      <c r="B253" s="47" t="s">
        <v>430</v>
      </c>
      <c r="D253" s="566">
        <v>0</v>
      </c>
      <c r="E253" s="557"/>
      <c r="G253" s="47">
        <v>0</v>
      </c>
      <c r="H253" s="47">
        <v>250320</v>
      </c>
      <c r="I253" s="47">
        <v>0</v>
      </c>
      <c r="J253" s="47">
        <f>SUM(G253:I253)</f>
        <v>250320</v>
      </c>
    </row>
    <row r="254" spans="1:10" x14ac:dyDescent="0.2">
      <c r="B254" s="47" t="s">
        <v>429</v>
      </c>
      <c r="D254" s="566">
        <v>0</v>
      </c>
      <c r="E254" s="557"/>
      <c r="G254" s="47">
        <v>85216</v>
      </c>
      <c r="H254" s="47">
        <v>85216</v>
      </c>
      <c r="I254" s="47">
        <v>21304</v>
      </c>
      <c r="J254" s="164">
        <f>SUM(G254:I254)</f>
        <v>191736</v>
      </c>
    </row>
    <row r="255" spans="1:10" x14ac:dyDescent="0.2">
      <c r="C255" s="47" t="s">
        <v>424</v>
      </c>
      <c r="D255" s="557"/>
      <c r="E255" s="560">
        <v>0</v>
      </c>
      <c r="G255" s="47">
        <v>82881</v>
      </c>
      <c r="H255" s="47">
        <v>81351</v>
      </c>
      <c r="I255" s="47">
        <v>20638</v>
      </c>
      <c r="J255" s="165">
        <f>SUM(G255:I255)</f>
        <v>184870</v>
      </c>
    </row>
    <row r="256" spans="1:10" x14ac:dyDescent="0.2">
      <c r="D256" s="557"/>
      <c r="E256" s="557"/>
      <c r="J256" s="47">
        <f>J254-J255</f>
        <v>6866</v>
      </c>
    </row>
    <row r="257" spans="1:10" x14ac:dyDescent="0.2">
      <c r="D257" s="557"/>
      <c r="E257" s="557"/>
      <c r="I257" s="163" t="s">
        <v>669</v>
      </c>
      <c r="J257" s="47">
        <v>101</v>
      </c>
    </row>
    <row r="258" spans="1:10" x14ac:dyDescent="0.2">
      <c r="A258" s="47">
        <v>26</v>
      </c>
      <c r="B258" s="47" t="s">
        <v>517</v>
      </c>
      <c r="D258" s="568">
        <v>0</v>
      </c>
      <c r="E258" s="557"/>
      <c r="J258" s="166">
        <f>SUM(J256:J257)</f>
        <v>6967</v>
      </c>
    </row>
    <row r="259" spans="1:10" x14ac:dyDescent="0.2">
      <c r="B259" s="47" t="s">
        <v>518</v>
      </c>
      <c r="D259" s="568">
        <v>0</v>
      </c>
      <c r="E259" s="557"/>
    </row>
    <row r="260" spans="1:10" x14ac:dyDescent="0.2">
      <c r="C260" s="47" t="s">
        <v>434</v>
      </c>
      <c r="D260" s="557"/>
      <c r="E260" s="559">
        <f>SUM(D258:D259)</f>
        <v>0</v>
      </c>
    </row>
    <row r="261" spans="1:10" x14ac:dyDescent="0.2">
      <c r="D261" s="557"/>
      <c r="E261" s="557"/>
    </row>
    <row r="262" spans="1:10" x14ac:dyDescent="0.2">
      <c r="B262" s="47" t="s">
        <v>435</v>
      </c>
      <c r="D262" s="557"/>
      <c r="E262" s="557"/>
    </row>
    <row r="263" spans="1:10" x14ac:dyDescent="0.2">
      <c r="D263" s="557"/>
      <c r="E263" s="557"/>
    </row>
    <row r="264" spans="1:10" x14ac:dyDescent="0.2">
      <c r="D264" s="557"/>
      <c r="E264" s="557"/>
    </row>
    <row r="265" spans="1:10" x14ac:dyDescent="0.2">
      <c r="A265" s="47">
        <v>27</v>
      </c>
      <c r="B265" s="47" t="s">
        <v>439</v>
      </c>
      <c r="D265" s="557">
        <v>0</v>
      </c>
      <c r="E265" s="557"/>
    </row>
    <row r="266" spans="1:10" x14ac:dyDescent="0.2">
      <c r="C266" s="47" t="s">
        <v>438</v>
      </c>
      <c r="D266" s="557"/>
      <c r="E266" s="557">
        <v>0</v>
      </c>
    </row>
    <row r="267" spans="1:10" x14ac:dyDescent="0.2">
      <c r="D267" s="557"/>
      <c r="E267" s="557"/>
    </row>
    <row r="268" spans="1:10" x14ac:dyDescent="0.2">
      <c r="D268" s="557"/>
      <c r="E268" s="557"/>
    </row>
    <row r="269" spans="1:10" x14ac:dyDescent="0.2">
      <c r="A269" s="47">
        <v>28</v>
      </c>
      <c r="B269" s="47" t="s">
        <v>442</v>
      </c>
      <c r="D269" s="557"/>
      <c r="E269" s="557"/>
    </row>
    <row r="270" spans="1:10" x14ac:dyDescent="0.2">
      <c r="C270" s="46" t="s">
        <v>440</v>
      </c>
      <c r="D270" s="557"/>
      <c r="E270" s="557"/>
    </row>
    <row r="271" spans="1:10" x14ac:dyDescent="0.2">
      <c r="D271" s="557"/>
      <c r="E271" s="557"/>
    </row>
    <row r="272" spans="1:10" x14ac:dyDescent="0.2">
      <c r="D272" s="557"/>
      <c r="E272" s="557"/>
    </row>
    <row r="273" spans="1:11" x14ac:dyDescent="0.2">
      <c r="A273" s="47">
        <v>29</v>
      </c>
      <c r="B273" s="47" t="s">
        <v>495</v>
      </c>
      <c r="D273" s="561"/>
      <c r="E273" s="557"/>
    </row>
    <row r="274" spans="1:11" x14ac:dyDescent="0.2">
      <c r="C274" s="47" t="s">
        <v>479</v>
      </c>
      <c r="D274" s="557"/>
      <c r="E274" s="558"/>
    </row>
    <row r="275" spans="1:11" x14ac:dyDescent="0.2">
      <c r="B275" s="47" t="s">
        <v>668</v>
      </c>
      <c r="D275" s="561"/>
      <c r="E275" s="561"/>
    </row>
    <row r="276" spans="1:11" x14ac:dyDescent="0.2">
      <c r="C276" s="47" t="s">
        <v>515</v>
      </c>
      <c r="D276" s="561"/>
      <c r="E276" s="561"/>
      <c r="H276" s="47" t="s">
        <v>889</v>
      </c>
    </row>
    <row r="277" spans="1:11" x14ac:dyDescent="0.2">
      <c r="D277" s="557"/>
      <c r="E277" s="557"/>
      <c r="H277" s="47" t="s">
        <v>888</v>
      </c>
      <c r="K277" s="47">
        <v>9169070</v>
      </c>
    </row>
    <row r="278" spans="1:11" x14ac:dyDescent="0.2">
      <c r="D278" s="557"/>
      <c r="E278" s="557"/>
      <c r="H278" s="47" t="s">
        <v>875</v>
      </c>
      <c r="K278" s="47">
        <v>6607091</v>
      </c>
    </row>
    <row r="279" spans="1:11" x14ac:dyDescent="0.2">
      <c r="A279" s="47">
        <v>30</v>
      </c>
      <c r="B279" s="47" t="s">
        <v>360</v>
      </c>
      <c r="D279" s="561">
        <v>0</v>
      </c>
      <c r="E279" s="561"/>
      <c r="H279" s="47" t="s">
        <v>682</v>
      </c>
    </row>
    <row r="280" spans="1:11" x14ac:dyDescent="0.2">
      <c r="C280" s="47" t="s">
        <v>498</v>
      </c>
      <c r="D280" s="561"/>
      <c r="E280" s="558">
        <v>0</v>
      </c>
      <c r="H280" s="47" t="s">
        <v>693</v>
      </c>
    </row>
    <row r="281" spans="1:11" x14ac:dyDescent="0.2">
      <c r="D281" s="557"/>
      <c r="E281" s="557"/>
      <c r="H281" s="47" t="s">
        <v>730</v>
      </c>
    </row>
    <row r="282" spans="1:11" x14ac:dyDescent="0.2">
      <c r="D282" s="557"/>
      <c r="E282" s="557"/>
      <c r="K282" s="47">
        <f>K277-K278</f>
        <v>2561979</v>
      </c>
    </row>
    <row r="283" spans="1:11" x14ac:dyDescent="0.2">
      <c r="A283" s="47">
        <v>31</v>
      </c>
      <c r="B283" s="47" t="s">
        <v>516</v>
      </c>
      <c r="D283" s="562">
        <v>0</v>
      </c>
      <c r="E283" s="557"/>
    </row>
    <row r="284" spans="1:11" x14ac:dyDescent="0.2">
      <c r="B284" s="47" t="s">
        <v>13</v>
      </c>
      <c r="D284" s="562">
        <v>0</v>
      </c>
      <c r="E284" s="557"/>
    </row>
    <row r="285" spans="1:11" x14ac:dyDescent="0.2">
      <c r="D285" s="557"/>
      <c r="E285" s="557"/>
      <c r="H285" s="87" t="s">
        <v>608</v>
      </c>
      <c r="I285" s="87" t="s">
        <v>609</v>
      </c>
    </row>
    <row r="286" spans="1:11" x14ac:dyDescent="0.2">
      <c r="C286" s="47" t="s">
        <v>316</v>
      </c>
      <c r="D286" s="557"/>
      <c r="E286" s="558">
        <v>0</v>
      </c>
      <c r="I286" s="47">
        <v>1535182</v>
      </c>
    </row>
    <row r="287" spans="1:11" x14ac:dyDescent="0.2">
      <c r="C287" s="47" t="s">
        <v>491</v>
      </c>
      <c r="D287" s="557"/>
      <c r="E287" s="562">
        <v>0</v>
      </c>
      <c r="H287" s="47">
        <v>50700</v>
      </c>
      <c r="I287" s="47">
        <v>36966</v>
      </c>
    </row>
    <row r="288" spans="1:11" x14ac:dyDescent="0.2">
      <c r="C288" s="47" t="s">
        <v>492</v>
      </c>
      <c r="D288" s="557"/>
      <c r="E288" s="558">
        <v>0</v>
      </c>
    </row>
    <row r="289" spans="1:9" x14ac:dyDescent="0.2">
      <c r="D289" s="557"/>
      <c r="E289" s="557"/>
      <c r="H289" s="47">
        <v>43195</v>
      </c>
    </row>
    <row r="290" spans="1:9" x14ac:dyDescent="0.2">
      <c r="D290" s="557">
        <f>SUM(D283:D289)</f>
        <v>0</v>
      </c>
      <c r="E290" s="557">
        <f>SUM(E283:E289)</f>
        <v>0</v>
      </c>
    </row>
    <row r="291" spans="1:9" x14ac:dyDescent="0.2">
      <c r="D291" s="557">
        <f>D290-E290</f>
        <v>0</v>
      </c>
      <c r="E291" s="557"/>
      <c r="H291" s="47">
        <v>2130953</v>
      </c>
      <c r="I291" s="47">
        <v>12250</v>
      </c>
    </row>
    <row r="292" spans="1:9" x14ac:dyDescent="0.2">
      <c r="D292" s="89"/>
      <c r="E292" s="89"/>
    </row>
    <row r="293" spans="1:9" x14ac:dyDescent="0.2">
      <c r="A293" s="47">
        <v>32</v>
      </c>
      <c r="B293" s="47" t="s">
        <v>531</v>
      </c>
      <c r="D293" s="107">
        <v>29979</v>
      </c>
      <c r="E293" s="107"/>
      <c r="F293" s="106" t="s">
        <v>412</v>
      </c>
    </row>
    <row r="294" spans="1:9" x14ac:dyDescent="0.2">
      <c r="C294" s="47" t="s">
        <v>532</v>
      </c>
      <c r="D294" s="256"/>
      <c r="E294" s="256">
        <v>29979</v>
      </c>
      <c r="F294" s="106" t="s">
        <v>412</v>
      </c>
    </row>
    <row r="295" spans="1:9" x14ac:dyDescent="0.2">
      <c r="D295" s="89"/>
      <c r="E295" s="89"/>
    </row>
    <row r="296" spans="1:9" x14ac:dyDescent="0.2">
      <c r="D296" s="557"/>
      <c r="E296" s="557"/>
    </row>
    <row r="297" spans="1:9" x14ac:dyDescent="0.2">
      <c r="A297" s="47">
        <v>33</v>
      </c>
      <c r="B297" s="47" t="s">
        <v>68</v>
      </c>
      <c r="D297" s="561">
        <v>0</v>
      </c>
      <c r="E297" s="557"/>
    </row>
    <row r="298" spans="1:9" x14ac:dyDescent="0.2">
      <c r="B298" s="47" t="s">
        <v>77</v>
      </c>
      <c r="D298" s="561"/>
      <c r="E298" s="557"/>
    </row>
    <row r="299" spans="1:9" x14ac:dyDescent="0.2">
      <c r="B299" s="47" t="s">
        <v>546</v>
      </c>
      <c r="D299" s="561"/>
      <c r="E299" s="561"/>
    </row>
    <row r="300" spans="1:9" x14ac:dyDescent="0.2">
      <c r="B300" s="47" t="s">
        <v>547</v>
      </c>
      <c r="D300" s="558"/>
      <c r="E300" s="557"/>
    </row>
    <row r="301" spans="1:9" x14ac:dyDescent="0.2">
      <c r="C301" s="47" t="s">
        <v>545</v>
      </c>
      <c r="D301" s="557"/>
      <c r="E301" s="561"/>
    </row>
    <row r="302" spans="1:9" x14ac:dyDescent="0.2">
      <c r="C302" s="47" t="s">
        <v>13</v>
      </c>
      <c r="D302" s="561"/>
      <c r="E302" s="561"/>
    </row>
    <row r="303" spans="1:9" x14ac:dyDescent="0.2">
      <c r="D303" s="557"/>
      <c r="E303" s="557"/>
    </row>
    <row r="304" spans="1:9" x14ac:dyDescent="0.2">
      <c r="B304" s="47" t="s">
        <v>545</v>
      </c>
      <c r="D304" s="561"/>
      <c r="E304" s="557"/>
    </row>
    <row r="305" spans="1:5" x14ac:dyDescent="0.2">
      <c r="C305" s="47" t="s">
        <v>546</v>
      </c>
      <c r="D305" s="557"/>
      <c r="E305" s="561"/>
    </row>
    <row r="306" spans="1:5" x14ac:dyDescent="0.2">
      <c r="C306" s="47" t="s">
        <v>705</v>
      </c>
      <c r="D306" s="557"/>
      <c r="E306" s="558"/>
    </row>
    <row r="307" spans="1:5" x14ac:dyDescent="0.2">
      <c r="C307" s="47" t="s">
        <v>706</v>
      </c>
      <c r="D307" s="557"/>
      <c r="E307" s="558"/>
    </row>
    <row r="308" spans="1:5" x14ac:dyDescent="0.2">
      <c r="D308" s="557"/>
      <c r="E308" s="557"/>
    </row>
    <row r="309" spans="1:5" x14ac:dyDescent="0.2">
      <c r="D309" s="557">
        <f>SUM(D297:D308)</f>
        <v>0</v>
      </c>
      <c r="E309" s="557">
        <f>SUM(E297:E308)</f>
        <v>0</v>
      </c>
    </row>
    <row r="310" spans="1:5" x14ac:dyDescent="0.2">
      <c r="D310" s="557"/>
      <c r="E310" s="557"/>
    </row>
    <row r="311" spans="1:5" x14ac:dyDescent="0.2">
      <c r="D311" s="557"/>
      <c r="E311" s="557"/>
    </row>
    <row r="312" spans="1:5" x14ac:dyDescent="0.2">
      <c r="A312" s="47">
        <v>34</v>
      </c>
      <c r="B312" s="47" t="s">
        <v>602</v>
      </c>
      <c r="D312" s="561">
        <v>0</v>
      </c>
      <c r="E312" s="557"/>
    </row>
    <row r="313" spans="1:5" x14ac:dyDescent="0.2">
      <c r="C313" s="47" t="s">
        <v>601</v>
      </c>
      <c r="D313" s="557"/>
      <c r="E313" s="558">
        <v>0</v>
      </c>
    </row>
    <row r="314" spans="1:5" x14ac:dyDescent="0.2">
      <c r="D314" s="557"/>
      <c r="E314" s="557"/>
    </row>
    <row r="315" spans="1:5" x14ac:dyDescent="0.2">
      <c r="D315" s="557"/>
      <c r="E315" s="557"/>
    </row>
    <row r="316" spans="1:5" x14ac:dyDescent="0.2">
      <c r="D316" s="557"/>
      <c r="E316" s="557"/>
    </row>
    <row r="317" spans="1:5" x14ac:dyDescent="0.2">
      <c r="A317" s="47">
        <v>35</v>
      </c>
      <c r="B317" s="47" t="s">
        <v>13</v>
      </c>
      <c r="D317" s="561"/>
      <c r="E317" s="557"/>
    </row>
    <row r="318" spans="1:5" x14ac:dyDescent="0.2">
      <c r="C318" s="47" t="s">
        <v>356</v>
      </c>
      <c r="D318" s="557"/>
      <c r="E318" s="561"/>
    </row>
    <row r="319" spans="1:5" x14ac:dyDescent="0.2">
      <c r="D319" s="557"/>
      <c r="E319" s="557"/>
    </row>
    <row r="320" spans="1:5" x14ac:dyDescent="0.2">
      <c r="B320" s="47" t="s">
        <v>707</v>
      </c>
      <c r="D320" s="557"/>
      <c r="E320" s="557"/>
    </row>
    <row r="321" spans="1:9" x14ac:dyDescent="0.2">
      <c r="D321" s="557"/>
      <c r="E321" s="557"/>
    </row>
    <row r="322" spans="1:9" x14ac:dyDescent="0.2">
      <c r="D322" s="557"/>
      <c r="E322" s="557"/>
    </row>
    <row r="323" spans="1:9" x14ac:dyDescent="0.2">
      <c r="A323" s="47">
        <v>36</v>
      </c>
      <c r="B323" s="47" t="s">
        <v>689</v>
      </c>
      <c r="D323" s="561"/>
      <c r="E323" s="557"/>
    </row>
    <row r="324" spans="1:9" x14ac:dyDescent="0.2">
      <c r="C324" s="47" t="s">
        <v>690</v>
      </c>
      <c r="D324" s="557"/>
      <c r="E324" s="561"/>
    </row>
    <row r="325" spans="1:9" x14ac:dyDescent="0.2">
      <c r="D325" s="557"/>
      <c r="E325" s="557"/>
    </row>
    <row r="326" spans="1:9" x14ac:dyDescent="0.2">
      <c r="D326" s="557"/>
      <c r="E326" s="557"/>
    </row>
    <row r="327" spans="1:9" x14ac:dyDescent="0.2">
      <c r="A327" s="47">
        <v>37</v>
      </c>
      <c r="B327" s="47" t="s">
        <v>748</v>
      </c>
      <c r="D327" s="557"/>
      <c r="E327" s="557"/>
    </row>
    <row r="328" spans="1:9" x14ac:dyDescent="0.2">
      <c r="B328" s="47" t="s">
        <v>749</v>
      </c>
      <c r="D328" s="561"/>
      <c r="E328" s="557"/>
    </row>
    <row r="329" spans="1:9" x14ac:dyDescent="0.2">
      <c r="B329" s="47" t="s">
        <v>750</v>
      </c>
      <c r="D329" s="561"/>
      <c r="E329" s="557"/>
    </row>
    <row r="330" spans="1:9" x14ac:dyDescent="0.2">
      <c r="B330" s="47" t="s">
        <v>751</v>
      </c>
      <c r="D330" s="561"/>
      <c r="E330" s="557"/>
    </row>
    <row r="331" spans="1:9" x14ac:dyDescent="0.2">
      <c r="B331" s="47" t="s">
        <v>752</v>
      </c>
      <c r="D331" s="561"/>
      <c r="E331" s="557"/>
    </row>
    <row r="332" spans="1:9" x14ac:dyDescent="0.2">
      <c r="D332" s="557"/>
      <c r="E332" s="557"/>
    </row>
    <row r="333" spans="1:9" x14ac:dyDescent="0.2">
      <c r="C333" s="47" t="s">
        <v>753</v>
      </c>
      <c r="D333" s="557"/>
      <c r="E333" s="558"/>
    </row>
    <row r="334" spans="1:9" x14ac:dyDescent="0.2">
      <c r="D334" s="557"/>
      <c r="E334" s="557"/>
      <c r="I334" s="47">
        <v>201724.4</v>
      </c>
    </row>
    <row r="335" spans="1:9" x14ac:dyDescent="0.2">
      <c r="D335" s="557"/>
      <c r="E335" s="557"/>
      <c r="H335" s="47" t="s">
        <v>979</v>
      </c>
      <c r="I335" s="47">
        <v>-68997</v>
      </c>
    </row>
    <row r="336" spans="1:9" x14ac:dyDescent="0.2">
      <c r="A336" s="47">
        <v>38</v>
      </c>
      <c r="B336" s="47" t="s">
        <v>348</v>
      </c>
      <c r="D336" s="561"/>
      <c r="E336" s="557"/>
      <c r="I336" s="102">
        <f>I334+I335</f>
        <v>132727.4</v>
      </c>
    </row>
    <row r="337" spans="1:14" x14ac:dyDescent="0.2">
      <c r="C337" s="47" t="s">
        <v>360</v>
      </c>
      <c r="D337" s="562"/>
      <c r="E337" s="561"/>
      <c r="I337" s="47" t="s">
        <v>672</v>
      </c>
      <c r="J337" s="47" t="s">
        <v>61</v>
      </c>
      <c r="M337" s="47" t="s">
        <v>978</v>
      </c>
      <c r="N337" s="47" t="s">
        <v>980</v>
      </c>
    </row>
    <row r="338" spans="1:14" x14ac:dyDescent="0.2">
      <c r="C338" s="47" t="s">
        <v>39</v>
      </c>
      <c r="D338" s="557"/>
      <c r="E338" s="561"/>
      <c r="G338" s="47" t="s">
        <v>883</v>
      </c>
      <c r="H338" s="47" t="s">
        <v>965</v>
      </c>
      <c r="I338" s="319">
        <v>132727</v>
      </c>
      <c r="J338" s="112"/>
    </row>
    <row r="339" spans="1:14" x14ac:dyDescent="0.2">
      <c r="D339" s="557"/>
      <c r="E339" s="557"/>
      <c r="H339" s="47" t="s">
        <v>966</v>
      </c>
      <c r="I339" s="115">
        <v>237468</v>
      </c>
      <c r="J339" s="318">
        <v>348616</v>
      </c>
      <c r="K339" s="189">
        <f>SUM(I338:J339)</f>
        <v>718811</v>
      </c>
      <c r="M339" s="164">
        <v>9616.5</v>
      </c>
    </row>
    <row r="340" spans="1:14" x14ac:dyDescent="0.2">
      <c r="B340" s="47" t="s">
        <v>785</v>
      </c>
      <c r="D340" s="557"/>
      <c r="E340" s="557"/>
      <c r="I340" s="65"/>
      <c r="J340" s="65"/>
      <c r="M340" s="165">
        <v>339000</v>
      </c>
    </row>
    <row r="341" spans="1:14" x14ac:dyDescent="0.2">
      <c r="D341" s="557"/>
      <c r="E341" s="557"/>
      <c r="I341" s="65"/>
      <c r="J341" s="65"/>
      <c r="M341" s="247">
        <f>SUM(M339:M340)</f>
        <v>348616.5</v>
      </c>
    </row>
    <row r="342" spans="1:14" x14ac:dyDescent="0.2">
      <c r="A342" s="47">
        <v>39</v>
      </c>
      <c r="B342" s="47" t="s">
        <v>348</v>
      </c>
      <c r="D342" s="561"/>
      <c r="E342" s="557"/>
      <c r="G342" s="47" t="s">
        <v>964</v>
      </c>
      <c r="I342" s="47">
        <v>380799</v>
      </c>
      <c r="J342" s="47">
        <v>283507</v>
      </c>
      <c r="K342" s="189">
        <f>SUM(I342:J342)</f>
        <v>664306</v>
      </c>
      <c r="L342" s="47" t="s">
        <v>976</v>
      </c>
    </row>
    <row r="343" spans="1:14" x14ac:dyDescent="0.2">
      <c r="C343" s="47" t="s">
        <v>310</v>
      </c>
      <c r="D343" s="557"/>
      <c r="E343" s="561"/>
    </row>
    <row r="344" spans="1:14" x14ac:dyDescent="0.2">
      <c r="D344" s="557"/>
      <c r="E344" s="557"/>
      <c r="H344" s="47" t="s">
        <v>315</v>
      </c>
      <c r="I344" s="101">
        <v>328755</v>
      </c>
      <c r="J344" s="47">
        <v>665514</v>
      </c>
      <c r="K344" s="47">
        <f>SUM(I344:J344)</f>
        <v>994269</v>
      </c>
      <c r="L344" s="47" t="s">
        <v>976</v>
      </c>
    </row>
    <row r="345" spans="1:14" x14ac:dyDescent="0.2">
      <c r="B345" s="47" t="s">
        <v>786</v>
      </c>
      <c r="D345" s="557"/>
      <c r="E345" s="557"/>
    </row>
    <row r="346" spans="1:14" x14ac:dyDescent="0.2">
      <c r="D346" s="557"/>
      <c r="E346" s="557"/>
      <c r="I346" s="47">
        <f>SUM(I338:I345)</f>
        <v>1079749</v>
      </c>
      <c r="J346" s="47">
        <f>SUM(J338:J345)</f>
        <v>1297637</v>
      </c>
    </row>
    <row r="347" spans="1:14" x14ac:dyDescent="0.2">
      <c r="A347" s="47">
        <v>40</v>
      </c>
      <c r="B347" s="47" t="s">
        <v>883</v>
      </c>
      <c r="D347" s="561">
        <v>0</v>
      </c>
      <c r="E347" s="557"/>
    </row>
    <row r="348" spans="1:14" x14ac:dyDescent="0.2">
      <c r="B348" s="47" t="s">
        <v>10</v>
      </c>
      <c r="D348" s="561">
        <v>0</v>
      </c>
      <c r="E348" s="557"/>
      <c r="J348" s="47">
        <v>-608763</v>
      </c>
      <c r="K348" s="47" t="s">
        <v>969</v>
      </c>
    </row>
    <row r="349" spans="1:14" x14ac:dyDescent="0.2">
      <c r="C349" s="47" t="s">
        <v>967</v>
      </c>
      <c r="D349" s="557"/>
      <c r="E349" s="558">
        <v>0</v>
      </c>
    </row>
    <row r="350" spans="1:14" x14ac:dyDescent="0.2">
      <c r="C350" s="47" t="s">
        <v>968</v>
      </c>
      <c r="D350" s="557"/>
      <c r="E350" s="558">
        <v>0</v>
      </c>
      <c r="H350" s="47">
        <v>328</v>
      </c>
      <c r="J350" s="47">
        <f>SUM(J346:J349)</f>
        <v>688874</v>
      </c>
    </row>
    <row r="351" spans="1:14" x14ac:dyDescent="0.2">
      <c r="D351" s="557"/>
      <c r="E351" s="557"/>
      <c r="H351" s="47">
        <v>259</v>
      </c>
    </row>
    <row r="352" spans="1:14" x14ac:dyDescent="0.2">
      <c r="B352" s="47" t="s">
        <v>970</v>
      </c>
      <c r="D352" s="557"/>
      <c r="E352" s="557"/>
      <c r="H352" s="47">
        <f>H350-H351</f>
        <v>69</v>
      </c>
    </row>
    <row r="353" spans="1:11" x14ac:dyDescent="0.2">
      <c r="D353" s="557"/>
      <c r="E353" s="557"/>
      <c r="H353" s="164"/>
    </row>
    <row r="354" spans="1:11" x14ac:dyDescent="0.2">
      <c r="D354" s="557"/>
      <c r="E354" s="557"/>
      <c r="G354" s="47" t="s">
        <v>977</v>
      </c>
      <c r="H354" s="317">
        <v>69</v>
      </c>
      <c r="J354" s="47" t="s">
        <v>1341</v>
      </c>
    </row>
    <row r="355" spans="1:11" x14ac:dyDescent="0.2">
      <c r="A355" s="47">
        <v>41</v>
      </c>
      <c r="B355" s="46" t="s">
        <v>535</v>
      </c>
      <c r="D355" s="256"/>
      <c r="E355" s="89">
        <v>0</v>
      </c>
      <c r="F355" s="106" t="s">
        <v>412</v>
      </c>
      <c r="G355" s="47" t="s">
        <v>315</v>
      </c>
      <c r="H355" s="165">
        <v>259</v>
      </c>
      <c r="J355" s="561">
        <f>K356+K358+K359+K360</f>
        <v>7520562</v>
      </c>
      <c r="K355" s="557"/>
    </row>
    <row r="356" spans="1:11" x14ac:dyDescent="0.2">
      <c r="C356" s="46" t="s">
        <v>8</v>
      </c>
      <c r="D356" s="89"/>
      <c r="E356" s="256"/>
      <c r="F356" s="106" t="s">
        <v>412</v>
      </c>
      <c r="H356" s="101">
        <f>H353+H354+H355</f>
        <v>328</v>
      </c>
      <c r="J356" s="557"/>
      <c r="K356" s="561">
        <v>3688862</v>
      </c>
    </row>
    <row r="357" spans="1:11" x14ac:dyDescent="0.2">
      <c r="C357" s="46" t="s">
        <v>1089</v>
      </c>
      <c r="D357" s="89"/>
      <c r="E357" s="89"/>
      <c r="F357" s="106"/>
      <c r="J357" s="557"/>
      <c r="K357" s="557"/>
    </row>
    <row r="358" spans="1:11" x14ac:dyDescent="0.2">
      <c r="C358" s="46" t="s">
        <v>279</v>
      </c>
      <c r="D358" s="89"/>
      <c r="E358" s="256"/>
      <c r="F358" s="106" t="s">
        <v>412</v>
      </c>
      <c r="J358" s="557"/>
      <c r="K358" s="561">
        <v>50700</v>
      </c>
    </row>
    <row r="359" spans="1:11" x14ac:dyDescent="0.2">
      <c r="C359" s="254" t="s">
        <v>16</v>
      </c>
      <c r="D359" s="89"/>
      <c r="E359" s="105"/>
      <c r="F359" s="320"/>
      <c r="J359" s="557"/>
      <c r="K359" s="563">
        <v>43195</v>
      </c>
    </row>
    <row r="360" spans="1:11" x14ac:dyDescent="0.2">
      <c r="C360" s="46" t="s">
        <v>1090</v>
      </c>
      <c r="D360" s="89"/>
      <c r="E360" s="256"/>
      <c r="F360" s="106" t="s">
        <v>412</v>
      </c>
      <c r="J360" s="557"/>
      <c r="K360" s="561">
        <v>3737805</v>
      </c>
    </row>
    <row r="361" spans="1:11" x14ac:dyDescent="0.2">
      <c r="B361" s="46" t="s">
        <v>13</v>
      </c>
      <c r="D361" s="256"/>
      <c r="E361" s="89"/>
      <c r="F361" s="106" t="s">
        <v>412</v>
      </c>
      <c r="J361" s="561">
        <v>2130953</v>
      </c>
      <c r="K361" s="557"/>
    </row>
    <row r="362" spans="1:11" x14ac:dyDescent="0.2">
      <c r="B362" s="254" t="s">
        <v>1099</v>
      </c>
      <c r="C362" s="189"/>
      <c r="D362" s="256"/>
      <c r="E362" s="89"/>
      <c r="F362" s="320" t="s">
        <v>412</v>
      </c>
      <c r="J362" s="561">
        <v>12000</v>
      </c>
      <c r="K362" s="557"/>
    </row>
    <row r="363" spans="1:11" x14ac:dyDescent="0.2">
      <c r="C363" s="46" t="s">
        <v>537</v>
      </c>
      <c r="D363" s="89"/>
      <c r="E363" s="256"/>
      <c r="F363" s="106" t="s">
        <v>412</v>
      </c>
      <c r="J363" s="557"/>
      <c r="K363" s="561">
        <f>J361+J362</f>
        <v>2142953</v>
      </c>
    </row>
    <row r="364" spans="1:11" x14ac:dyDescent="0.2">
      <c r="B364" s="46"/>
      <c r="C364" s="46"/>
      <c r="D364" s="557"/>
      <c r="E364" s="557"/>
      <c r="F364" s="106"/>
    </row>
    <row r="365" spans="1:11" x14ac:dyDescent="0.2">
      <c r="B365" s="123" t="s">
        <v>1091</v>
      </c>
      <c r="C365" s="46"/>
      <c r="D365" s="557"/>
      <c r="E365" s="557"/>
    </row>
    <row r="366" spans="1:11" x14ac:dyDescent="0.2">
      <c r="D366" s="557"/>
      <c r="E366" s="557"/>
    </row>
    <row r="367" spans="1:11" x14ac:dyDescent="0.2">
      <c r="D367" s="557"/>
      <c r="E367" s="557"/>
    </row>
    <row r="368" spans="1:11" x14ac:dyDescent="0.2">
      <c r="A368" s="47">
        <v>42</v>
      </c>
      <c r="B368" s="47" t="s">
        <v>120</v>
      </c>
      <c r="D368" s="256"/>
      <c r="E368" s="89"/>
      <c r="F368" s="106" t="s">
        <v>412</v>
      </c>
      <c r="J368" s="561">
        <v>367316</v>
      </c>
      <c r="K368" s="557"/>
    </row>
    <row r="369" spans="1:11" x14ac:dyDescent="0.2">
      <c r="C369" s="47" t="s">
        <v>1142</v>
      </c>
      <c r="D369" s="89"/>
      <c r="E369" s="107"/>
      <c r="F369" s="106" t="s">
        <v>412</v>
      </c>
      <c r="J369" s="557"/>
      <c r="K369" s="558">
        <v>367316</v>
      </c>
    </row>
    <row r="370" spans="1:11" x14ac:dyDescent="0.2">
      <c r="D370" s="557"/>
      <c r="E370" s="557"/>
    </row>
    <row r="371" spans="1:11" x14ac:dyDescent="0.2">
      <c r="D371" s="557"/>
      <c r="E371" s="557"/>
    </row>
    <row r="372" spans="1:11" x14ac:dyDescent="0.2">
      <c r="A372" s="47">
        <v>43</v>
      </c>
      <c r="B372" s="47" t="s">
        <v>10</v>
      </c>
      <c r="D372" s="256"/>
      <c r="E372" s="89"/>
      <c r="J372" s="561">
        <f>SUM(K373:K375)</f>
        <v>668981</v>
      </c>
      <c r="K372" s="557"/>
    </row>
    <row r="373" spans="1:11" x14ac:dyDescent="0.2">
      <c r="C373" s="47" t="s">
        <v>1146</v>
      </c>
      <c r="D373" s="89"/>
      <c r="E373" s="107"/>
      <c r="F373" s="106" t="s">
        <v>412</v>
      </c>
      <c r="J373" s="557"/>
      <c r="K373" s="558">
        <v>464106</v>
      </c>
    </row>
    <row r="374" spans="1:11" x14ac:dyDescent="0.2">
      <c r="C374" s="47" t="s">
        <v>1145</v>
      </c>
      <c r="D374" s="89"/>
      <c r="E374" s="107"/>
      <c r="F374" s="106" t="s">
        <v>412</v>
      </c>
      <c r="J374" s="557"/>
      <c r="K374" s="558">
        <v>190589</v>
      </c>
    </row>
    <row r="375" spans="1:11" x14ac:dyDescent="0.2">
      <c r="C375" s="47" t="s">
        <v>1147</v>
      </c>
      <c r="D375" s="89"/>
      <c r="E375" s="107"/>
      <c r="F375" s="106" t="s">
        <v>412</v>
      </c>
      <c r="J375" s="557"/>
      <c r="K375" s="558">
        <v>14286</v>
      </c>
    </row>
    <row r="376" spans="1:11" x14ac:dyDescent="0.2">
      <c r="D376" s="89"/>
      <c r="E376" s="89"/>
      <c r="J376" s="557"/>
      <c r="K376" s="557"/>
    </row>
    <row r="377" spans="1:11" x14ac:dyDescent="0.2">
      <c r="B377" s="47" t="s">
        <v>1148</v>
      </c>
      <c r="D377" s="256"/>
      <c r="E377" s="89"/>
      <c r="F377" s="106" t="s">
        <v>412</v>
      </c>
      <c r="J377" s="561">
        <f>SUM(K378:K379)</f>
        <v>283802</v>
      </c>
      <c r="K377" s="557"/>
    </row>
    <row r="378" spans="1:11" x14ac:dyDescent="0.2">
      <c r="C378" s="47" t="s">
        <v>1149</v>
      </c>
      <c r="D378" s="89"/>
      <c r="E378" s="107"/>
      <c r="F378" s="106" t="s">
        <v>412</v>
      </c>
      <c r="J378" s="557"/>
      <c r="K378" s="558">
        <v>253612</v>
      </c>
    </row>
    <row r="379" spans="1:11" x14ac:dyDescent="0.2">
      <c r="C379" s="47" t="s">
        <v>1150</v>
      </c>
      <c r="D379" s="89"/>
      <c r="E379" s="107"/>
      <c r="F379" s="106" t="s">
        <v>412</v>
      </c>
      <c r="J379" s="557"/>
      <c r="K379" s="558">
        <v>30190</v>
      </c>
    </row>
    <row r="380" spans="1:11" x14ac:dyDescent="0.2">
      <c r="D380" s="557"/>
      <c r="E380" s="557"/>
    </row>
    <row r="381" spans="1:11" x14ac:dyDescent="0.2">
      <c r="D381" s="557"/>
      <c r="E381" s="557"/>
    </row>
    <row r="382" spans="1:11" x14ac:dyDescent="0.2">
      <c r="A382" s="47">
        <v>44</v>
      </c>
      <c r="B382" s="47" t="s">
        <v>1174</v>
      </c>
      <c r="D382" s="256"/>
      <c r="E382" s="89"/>
      <c r="F382" s="106" t="s">
        <v>412</v>
      </c>
      <c r="J382" s="561">
        <v>32969073</v>
      </c>
      <c r="K382" s="557"/>
    </row>
    <row r="383" spans="1:11" x14ac:dyDescent="0.2">
      <c r="D383" s="89"/>
      <c r="E383" s="89"/>
      <c r="J383" s="557"/>
      <c r="K383" s="557"/>
    </row>
    <row r="384" spans="1:11" x14ac:dyDescent="0.2">
      <c r="B384" s="47" t="s">
        <v>1173</v>
      </c>
      <c r="D384" s="256"/>
      <c r="E384" s="89"/>
      <c r="F384" s="106" t="s">
        <v>412</v>
      </c>
      <c r="J384" s="561">
        <v>3737805</v>
      </c>
      <c r="K384" s="557"/>
    </row>
    <row r="385" spans="1:11" x14ac:dyDescent="0.2">
      <c r="C385" s="47" t="s">
        <v>1172</v>
      </c>
      <c r="D385" s="89"/>
      <c r="E385" s="256"/>
      <c r="F385" s="106" t="s">
        <v>412</v>
      </c>
      <c r="J385" s="557"/>
      <c r="K385" s="561">
        <v>1966317</v>
      </c>
    </row>
    <row r="386" spans="1:11" x14ac:dyDescent="0.2">
      <c r="C386" s="47" t="s">
        <v>1171</v>
      </c>
      <c r="D386" s="89"/>
      <c r="E386" s="256"/>
      <c r="F386" s="106" t="s">
        <v>412</v>
      </c>
      <c r="J386" s="557"/>
      <c r="K386" s="561">
        <v>31002756</v>
      </c>
    </row>
    <row r="387" spans="1:11" x14ac:dyDescent="0.2">
      <c r="C387" s="47" t="s">
        <v>1208</v>
      </c>
      <c r="D387" s="89"/>
      <c r="E387" s="107"/>
      <c r="J387" s="557"/>
      <c r="K387" s="558">
        <v>3737805</v>
      </c>
    </row>
    <row r="388" spans="1:11" x14ac:dyDescent="0.2">
      <c r="D388" s="557"/>
      <c r="E388" s="557"/>
    </row>
    <row r="389" spans="1:11" x14ac:dyDescent="0.2">
      <c r="D389" s="557"/>
      <c r="E389" s="557"/>
    </row>
    <row r="390" spans="1:11" x14ac:dyDescent="0.2">
      <c r="A390" s="360">
        <v>45</v>
      </c>
      <c r="B390" s="360" t="s">
        <v>1177</v>
      </c>
      <c r="C390" s="360"/>
      <c r="D390" s="576"/>
      <c r="E390" s="577"/>
      <c r="F390" s="359" t="s">
        <v>412</v>
      </c>
      <c r="J390" s="569">
        <v>760608</v>
      </c>
      <c r="K390" s="570"/>
    </row>
    <row r="391" spans="1:11" x14ac:dyDescent="0.2">
      <c r="A391" s="360"/>
      <c r="B391" s="360"/>
      <c r="C391" s="360" t="s">
        <v>1176</v>
      </c>
      <c r="D391" s="577"/>
      <c r="E391" s="578"/>
      <c r="F391" s="359" t="s">
        <v>412</v>
      </c>
      <c r="J391" s="570"/>
      <c r="K391" s="571">
        <v>760608</v>
      </c>
    </row>
    <row r="392" spans="1:11" x14ac:dyDescent="0.2">
      <c r="D392" s="557"/>
      <c r="E392" s="557"/>
    </row>
    <row r="393" spans="1:11" x14ac:dyDescent="0.2">
      <c r="D393" s="557"/>
      <c r="E393" s="557"/>
    </row>
    <row r="394" spans="1:11" x14ac:dyDescent="0.2">
      <c r="A394" s="47">
        <v>46</v>
      </c>
      <c r="B394" s="47" t="s">
        <v>1209</v>
      </c>
      <c r="D394" s="256">
        <v>0</v>
      </c>
      <c r="E394" s="89"/>
      <c r="F394" s="106" t="s">
        <v>412</v>
      </c>
    </row>
    <row r="395" spans="1:11" x14ac:dyDescent="0.2">
      <c r="C395" s="47" t="s">
        <v>1342</v>
      </c>
      <c r="D395" s="89"/>
      <c r="E395" s="107">
        <v>0</v>
      </c>
      <c r="F395" s="106" t="s">
        <v>412</v>
      </c>
    </row>
    <row r="396" spans="1:11" x14ac:dyDescent="0.2">
      <c r="D396" s="557"/>
      <c r="E396" s="557"/>
    </row>
    <row r="397" spans="1:11" x14ac:dyDescent="0.2">
      <c r="D397" s="557"/>
      <c r="E397" s="557"/>
    </row>
    <row r="398" spans="1:11" x14ac:dyDescent="0.2">
      <c r="A398" s="47">
        <v>47</v>
      </c>
      <c r="B398" s="47" t="s">
        <v>1211</v>
      </c>
      <c r="D398" s="89"/>
      <c r="E398" s="89"/>
      <c r="J398" s="557">
        <v>659693</v>
      </c>
      <c r="K398" s="557"/>
    </row>
    <row r="399" spans="1:11" x14ac:dyDescent="0.2">
      <c r="C399" s="47" t="s">
        <v>68</v>
      </c>
      <c r="D399" s="89"/>
      <c r="E399" s="89"/>
      <c r="J399" s="557"/>
      <c r="K399" s="557">
        <v>659693</v>
      </c>
    </row>
    <row r="400" spans="1:11" x14ac:dyDescent="0.2">
      <c r="D400" s="557"/>
      <c r="E400" s="557"/>
    </row>
    <row r="401" spans="1:11" x14ac:dyDescent="0.2">
      <c r="D401" s="557"/>
      <c r="E401" s="557"/>
    </row>
    <row r="402" spans="1:11" x14ac:dyDescent="0.2">
      <c r="A402" s="47">
        <v>48</v>
      </c>
      <c r="B402" s="47" t="s">
        <v>1195</v>
      </c>
      <c r="D402" s="89"/>
      <c r="E402" s="89"/>
      <c r="J402" s="557">
        <v>2914087</v>
      </c>
      <c r="K402" s="557"/>
    </row>
    <row r="403" spans="1:11" x14ac:dyDescent="0.2">
      <c r="B403" s="47" t="s">
        <v>897</v>
      </c>
      <c r="D403" s="89"/>
      <c r="E403" s="89"/>
      <c r="J403" s="557">
        <v>7912577</v>
      </c>
      <c r="K403" s="557"/>
    </row>
    <row r="404" spans="1:11" x14ac:dyDescent="0.2">
      <c r="C404" s="47" t="s">
        <v>1204</v>
      </c>
      <c r="D404" s="89"/>
      <c r="E404" s="89"/>
      <c r="J404" s="557"/>
      <c r="K404" s="557">
        <f>SUM(J402:J403)</f>
        <v>10826664</v>
      </c>
    </row>
    <row r="405" spans="1:11" x14ac:dyDescent="0.2">
      <c r="B405" s="47" t="s">
        <v>388</v>
      </c>
      <c r="D405" s="89"/>
      <c r="E405" s="89"/>
      <c r="J405" s="557">
        <v>73151</v>
      </c>
      <c r="K405" s="557"/>
    </row>
    <row r="406" spans="1:11" x14ac:dyDescent="0.2">
      <c r="C406" s="47" t="s">
        <v>1204</v>
      </c>
      <c r="D406" s="89"/>
      <c r="E406" s="89"/>
      <c r="J406" s="557"/>
      <c r="K406" s="557">
        <v>73151</v>
      </c>
    </row>
    <row r="407" spans="1:11" x14ac:dyDescent="0.2">
      <c r="D407" s="557"/>
      <c r="E407" s="557"/>
    </row>
    <row r="408" spans="1:11" x14ac:dyDescent="0.2">
      <c r="D408" s="557"/>
      <c r="E408" s="557"/>
      <c r="J408" s="557">
        <v>23100</v>
      </c>
      <c r="K408" s="557"/>
    </row>
    <row r="409" spans="1:11" x14ac:dyDescent="0.2">
      <c r="A409" s="47">
        <v>49</v>
      </c>
      <c r="B409" s="47" t="s">
        <v>388</v>
      </c>
      <c r="D409" s="89">
        <v>19654</v>
      </c>
      <c r="E409" s="89"/>
      <c r="J409" s="557"/>
      <c r="K409" s="557">
        <v>23100</v>
      </c>
    </row>
    <row r="410" spans="1:11" x14ac:dyDescent="0.2">
      <c r="C410" s="47" t="s">
        <v>897</v>
      </c>
      <c r="D410" s="89"/>
      <c r="E410" s="89">
        <v>19654</v>
      </c>
    </row>
  </sheetData>
  <phoneticPr fontId="24" type="noConversion"/>
  <pageMargins left="0.7" right="0.19" top="0.22" bottom="0.22" header="0.16" footer="0.16"/>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2"/>
  <sheetViews>
    <sheetView workbookViewId="0">
      <selection sqref="A1:AP1"/>
    </sheetView>
  </sheetViews>
  <sheetFormatPr defaultRowHeight="12.75" x14ac:dyDescent="0.2"/>
  <cols>
    <col min="1" max="1" width="6.5703125" customWidth="1"/>
    <col min="2" max="2" width="8" bestFit="1" customWidth="1"/>
    <col min="3" max="3" width="25" bestFit="1" customWidth="1"/>
    <col min="4" max="4" width="11.28515625" bestFit="1" customWidth="1"/>
  </cols>
  <sheetData>
    <row r="1" spans="1:8" x14ac:dyDescent="0.2">
      <c r="A1" t="s">
        <v>961</v>
      </c>
    </row>
    <row r="5" spans="1:8" x14ac:dyDescent="0.2">
      <c r="D5" t="s">
        <v>672</v>
      </c>
      <c r="E5" t="s">
        <v>61</v>
      </c>
    </row>
    <row r="6" spans="1:8" x14ac:dyDescent="0.2">
      <c r="D6" t="s">
        <v>1122</v>
      </c>
      <c r="E6" t="s">
        <v>155</v>
      </c>
      <c r="F6" t="s">
        <v>7</v>
      </c>
    </row>
    <row r="8" spans="1:8" x14ac:dyDescent="0.2">
      <c r="B8" t="s">
        <v>1124</v>
      </c>
      <c r="C8" t="s">
        <v>1123</v>
      </c>
      <c r="D8" s="350">
        <v>190589</v>
      </c>
      <c r="E8" s="351">
        <v>14285</v>
      </c>
      <c r="F8" s="353">
        <f>SUM(D8:E8)</f>
        <v>204874</v>
      </c>
      <c r="G8" s="18"/>
      <c r="H8" s="18"/>
    </row>
    <row r="9" spans="1:8" x14ac:dyDescent="0.2">
      <c r="B9" t="s">
        <v>1124</v>
      </c>
      <c r="C9" t="s">
        <v>1125</v>
      </c>
      <c r="D9" s="352">
        <v>464106</v>
      </c>
      <c r="E9" s="171">
        <v>0</v>
      </c>
      <c r="F9" s="354">
        <f>SUM(D9:E9)</f>
        <v>464106</v>
      </c>
      <c r="G9" s="18"/>
      <c r="H9" s="18"/>
    </row>
    <row r="10" spans="1:8" x14ac:dyDescent="0.2">
      <c r="D10" s="18"/>
      <c r="E10" s="18"/>
      <c r="F10" s="18"/>
      <c r="G10" s="18"/>
      <c r="H10" s="18"/>
    </row>
    <row r="11" spans="1:8" x14ac:dyDescent="0.2">
      <c r="D11" s="18">
        <f>SUM(D8:D10)</f>
        <v>654695</v>
      </c>
      <c r="E11" s="18">
        <f>SUM(E8:E10)</f>
        <v>14285</v>
      </c>
      <c r="F11" s="18">
        <f>SUM(F8:F10)</f>
        <v>668980</v>
      </c>
      <c r="G11" s="18"/>
      <c r="H11" s="18"/>
    </row>
    <row r="12" spans="1:8" x14ac:dyDescent="0.2">
      <c r="D12" s="18"/>
      <c r="E12" s="18"/>
      <c r="F12" s="18"/>
      <c r="G12" s="18"/>
      <c r="H12" s="18"/>
    </row>
    <row r="13" spans="1:8" x14ac:dyDescent="0.2">
      <c r="B13" t="s">
        <v>1124</v>
      </c>
      <c r="C13" t="s">
        <v>1126</v>
      </c>
      <c r="D13" s="18">
        <v>253612</v>
      </c>
      <c r="E13" s="18">
        <v>30190</v>
      </c>
      <c r="F13" s="355">
        <f>SUM(D13:E13)</f>
        <v>283802</v>
      </c>
      <c r="G13" s="18"/>
      <c r="H13" s="18"/>
    </row>
    <row r="14" spans="1:8" x14ac:dyDescent="0.2">
      <c r="D14" s="18"/>
      <c r="E14" s="18"/>
      <c r="F14" s="18"/>
      <c r="G14" s="18"/>
      <c r="H14" s="18"/>
    </row>
    <row r="15" spans="1:8" x14ac:dyDescent="0.2">
      <c r="D15" s="18"/>
      <c r="E15" s="18"/>
      <c r="F15" s="18"/>
      <c r="G15" s="18"/>
      <c r="H15" s="18"/>
    </row>
    <row r="16" spans="1:8" x14ac:dyDescent="0.2">
      <c r="C16" t="s">
        <v>1127</v>
      </c>
      <c r="D16" s="18">
        <f>D11+D13</f>
        <v>908307</v>
      </c>
      <c r="E16" s="18">
        <f>E11+E13</f>
        <v>44475</v>
      </c>
      <c r="F16" s="18">
        <f>F11+F13</f>
        <v>952782</v>
      </c>
      <c r="G16" s="18"/>
      <c r="H16" s="18"/>
    </row>
    <row r="17" spans="4:8" x14ac:dyDescent="0.2">
      <c r="D17" s="18"/>
      <c r="E17" s="18"/>
      <c r="F17" s="18"/>
      <c r="G17" s="18"/>
      <c r="H17" s="18"/>
    </row>
    <row r="18" spans="4:8" x14ac:dyDescent="0.2">
      <c r="D18" s="18"/>
      <c r="E18" s="18"/>
      <c r="F18" s="18"/>
      <c r="G18" s="18"/>
      <c r="H18" s="18"/>
    </row>
    <row r="19" spans="4:8" x14ac:dyDescent="0.2">
      <c r="D19" s="18"/>
      <c r="E19" s="18"/>
      <c r="F19" s="18"/>
      <c r="G19" s="18"/>
      <c r="H19" s="18"/>
    </row>
    <row r="20" spans="4:8" x14ac:dyDescent="0.2">
      <c r="D20" s="18"/>
      <c r="E20" s="18"/>
      <c r="F20" s="18"/>
      <c r="G20" s="18"/>
      <c r="H20" s="18"/>
    </row>
    <row r="21" spans="4:8" x14ac:dyDescent="0.2">
      <c r="D21" s="18"/>
      <c r="E21" s="18"/>
      <c r="F21" s="18"/>
      <c r="G21" s="18"/>
      <c r="H21" s="18"/>
    </row>
    <row r="22" spans="4:8" x14ac:dyDescent="0.2">
      <c r="D22" s="18"/>
      <c r="E22" s="18"/>
      <c r="F22" s="18"/>
      <c r="G22" s="18"/>
      <c r="H22" s="18"/>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3"/>
  <sheetViews>
    <sheetView workbookViewId="0">
      <selection sqref="A1:AP1"/>
    </sheetView>
  </sheetViews>
  <sheetFormatPr defaultRowHeight="12.75" x14ac:dyDescent="0.2"/>
  <cols>
    <col min="1" max="1" width="24.140625" bestFit="1" customWidth="1"/>
    <col min="2" max="3" width="9.5703125" customWidth="1"/>
    <col min="4" max="7" width="10.42578125" customWidth="1"/>
    <col min="8" max="8" width="9.28515625" customWidth="1"/>
    <col min="9" max="9" width="7.42578125" customWidth="1"/>
    <col min="10" max="10" width="9.28515625" customWidth="1"/>
    <col min="11" max="11" width="10" customWidth="1"/>
    <col min="12" max="12" width="7.42578125" customWidth="1"/>
    <col min="13" max="13" width="10" customWidth="1"/>
    <col min="14" max="14" width="8.28515625" customWidth="1"/>
    <col min="15" max="15" width="6.5703125" customWidth="1"/>
    <col min="16" max="16" width="8.28515625" customWidth="1"/>
    <col min="17" max="17" width="9.5703125" customWidth="1"/>
    <col min="18" max="18" width="7.7109375" customWidth="1"/>
    <col min="19" max="19" width="9.5703125" customWidth="1"/>
    <col min="20" max="20" width="10.42578125" customWidth="1"/>
    <col min="21" max="21" width="9.5703125" customWidth="1"/>
    <col min="22" max="22" width="10.42578125" customWidth="1"/>
    <col min="23" max="23" width="7.5703125" customWidth="1"/>
    <col min="24" max="24" width="5.28515625" customWidth="1"/>
    <col min="25" max="25" width="7.5703125" customWidth="1"/>
    <col min="26" max="26" width="9.140625" customWidth="1"/>
    <col min="27" max="27" width="7.42578125" customWidth="1"/>
    <col min="28" max="28" width="9.140625" customWidth="1"/>
    <col min="29" max="29" width="8.42578125" customWidth="1"/>
    <col min="30" max="30" width="6.5703125" customWidth="1"/>
    <col min="31" max="31" width="10.42578125" customWidth="1"/>
    <col min="32" max="32" width="9.5703125" customWidth="1"/>
    <col min="33" max="33" width="10.42578125" customWidth="1"/>
    <col min="34" max="34" width="9" customWidth="1"/>
    <col min="35" max="35" width="9.42578125" customWidth="1"/>
    <col min="36" max="36" width="11.28515625" customWidth="1"/>
    <col min="37" max="37" width="7" customWidth="1"/>
    <col min="38" max="39" width="9.85546875" customWidth="1"/>
    <col min="40" max="40" width="1.85546875" customWidth="1"/>
    <col min="41" max="41" width="1.5703125" customWidth="1"/>
    <col min="42" max="42" width="11.28515625" bestFit="1" customWidth="1"/>
    <col min="43" max="43" width="9.28515625" style="25" bestFit="1" customWidth="1"/>
    <col min="44" max="44" width="11.28515625" style="25" bestFit="1" customWidth="1"/>
    <col min="45" max="49" width="9.140625" style="25"/>
  </cols>
  <sheetData>
    <row r="1" spans="1:48" x14ac:dyDescent="0.2">
      <c r="A1" s="621" t="s">
        <v>2</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621"/>
      <c r="AP1" s="621"/>
    </row>
    <row r="2" spans="1:48" x14ac:dyDescent="0.2">
      <c r="A2" s="621" t="s">
        <v>923</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row>
    <row r="3" spans="1:48" x14ac:dyDescent="0.2">
      <c r="A3" s="64"/>
      <c r="B3" s="54" t="s">
        <v>510</v>
      </c>
      <c r="C3" s="54"/>
      <c r="D3" s="54"/>
      <c r="E3" s="54" t="s">
        <v>510</v>
      </c>
      <c r="F3" s="54"/>
      <c r="G3" s="54"/>
      <c r="H3" s="54" t="s">
        <v>510</v>
      </c>
      <c r="I3" s="54"/>
      <c r="J3" s="54"/>
      <c r="K3" s="54" t="s">
        <v>510</v>
      </c>
      <c r="L3" s="54"/>
      <c r="M3" s="54"/>
      <c r="N3" s="54" t="s">
        <v>510</v>
      </c>
      <c r="O3" s="54"/>
      <c r="P3" s="54"/>
      <c r="Q3" s="54" t="s">
        <v>510</v>
      </c>
      <c r="R3" s="54"/>
      <c r="S3" s="54"/>
      <c r="T3" s="54" t="s">
        <v>510</v>
      </c>
      <c r="U3" s="54"/>
      <c r="V3" s="54"/>
      <c r="W3" s="54" t="s">
        <v>510</v>
      </c>
      <c r="X3" s="54"/>
      <c r="Y3" s="54"/>
      <c r="Z3" s="54" t="s">
        <v>510</v>
      </c>
      <c r="AA3" s="54"/>
      <c r="AB3" s="54"/>
      <c r="AC3" s="54" t="s">
        <v>510</v>
      </c>
      <c r="AD3" s="54" t="s">
        <v>510</v>
      </c>
      <c r="AE3" s="54" t="s">
        <v>510</v>
      </c>
      <c r="AF3" s="54"/>
      <c r="AG3" s="54"/>
      <c r="AH3" s="54" t="s">
        <v>510</v>
      </c>
      <c r="AI3" s="54" t="s">
        <v>510</v>
      </c>
      <c r="AJ3" s="54" t="s">
        <v>1</v>
      </c>
      <c r="AK3" s="54"/>
      <c r="AL3" s="54"/>
      <c r="AM3" s="54"/>
      <c r="AN3" s="54"/>
      <c r="AO3" s="54"/>
      <c r="AP3" s="52"/>
    </row>
    <row r="4" spans="1:48" x14ac:dyDescent="0.2">
      <c r="A4" s="64"/>
      <c r="B4" s="277"/>
      <c r="C4" s="278"/>
      <c r="D4" s="279" t="s">
        <v>303</v>
      </c>
      <c r="E4" s="278"/>
      <c r="F4" s="278"/>
      <c r="G4" s="279" t="s">
        <v>303</v>
      </c>
      <c r="H4" s="278"/>
      <c r="I4" s="278"/>
      <c r="J4" s="279" t="s">
        <v>303</v>
      </c>
      <c r="K4" s="278"/>
      <c r="L4" s="278"/>
      <c r="M4" s="279" t="s">
        <v>303</v>
      </c>
      <c r="N4" s="277"/>
      <c r="O4" s="278"/>
      <c r="P4" s="279" t="s">
        <v>303</v>
      </c>
      <c r="Q4" s="277"/>
      <c r="R4" s="278"/>
      <c r="S4" s="279" t="s">
        <v>303</v>
      </c>
      <c r="T4" s="277"/>
      <c r="U4" s="278"/>
      <c r="V4" s="279" t="s">
        <v>303</v>
      </c>
      <c r="W4" s="277"/>
      <c r="X4" s="278"/>
      <c r="Y4" s="279" t="s">
        <v>303</v>
      </c>
      <c r="Z4" s="277"/>
      <c r="AA4" s="278"/>
      <c r="AB4" s="279" t="s">
        <v>303</v>
      </c>
      <c r="AC4" s="54"/>
      <c r="AD4" s="54" t="s">
        <v>153</v>
      </c>
      <c r="AE4" s="289" t="s">
        <v>61</v>
      </c>
      <c r="AF4" s="290"/>
      <c r="AG4" s="279" t="s">
        <v>303</v>
      </c>
      <c r="AH4" s="68"/>
      <c r="AI4" s="54" t="s">
        <v>148</v>
      </c>
      <c r="AJ4" s="54"/>
      <c r="AK4" s="54"/>
      <c r="AL4" s="622" t="s">
        <v>26</v>
      </c>
      <c r="AM4" s="622"/>
      <c r="AN4" s="54"/>
      <c r="AO4" s="54"/>
      <c r="AP4" s="54"/>
      <c r="AU4" s="263" t="s">
        <v>974</v>
      </c>
    </row>
    <row r="5" spans="1:48" x14ac:dyDescent="0.2">
      <c r="A5" s="68"/>
      <c r="B5" s="280" t="s">
        <v>144</v>
      </c>
      <c r="C5" s="93"/>
      <c r="D5" s="281" t="s">
        <v>144</v>
      </c>
      <c r="E5" s="93" t="s">
        <v>346</v>
      </c>
      <c r="F5" s="93"/>
      <c r="G5" s="281" t="s">
        <v>346</v>
      </c>
      <c r="H5" s="282" t="s">
        <v>145</v>
      </c>
      <c r="I5" s="282"/>
      <c r="J5" s="283" t="s">
        <v>145</v>
      </c>
      <c r="K5" s="282" t="s">
        <v>146</v>
      </c>
      <c r="L5" s="282"/>
      <c r="M5" s="283" t="s">
        <v>146</v>
      </c>
      <c r="N5" s="284" t="s">
        <v>147</v>
      </c>
      <c r="O5" s="282"/>
      <c r="P5" s="283" t="s">
        <v>147</v>
      </c>
      <c r="Q5" s="285" t="s">
        <v>148</v>
      </c>
      <c r="R5" s="286"/>
      <c r="S5" s="287" t="s">
        <v>148</v>
      </c>
      <c r="T5" s="285" t="s">
        <v>149</v>
      </c>
      <c r="U5" s="286"/>
      <c r="V5" s="287" t="s">
        <v>149</v>
      </c>
      <c r="W5" s="285" t="s">
        <v>150</v>
      </c>
      <c r="X5" s="286"/>
      <c r="Y5" s="287" t="s">
        <v>150</v>
      </c>
      <c r="Z5" s="285" t="s">
        <v>151</v>
      </c>
      <c r="AA5" s="286"/>
      <c r="AB5" s="287" t="s">
        <v>151</v>
      </c>
      <c r="AC5" s="104" t="s">
        <v>152</v>
      </c>
      <c r="AD5" s="54" t="s">
        <v>154</v>
      </c>
      <c r="AE5" s="285" t="s">
        <v>155</v>
      </c>
      <c r="AF5" s="286"/>
      <c r="AG5" s="287" t="s">
        <v>673</v>
      </c>
      <c r="AH5" s="54" t="s">
        <v>156</v>
      </c>
      <c r="AI5" s="54" t="s">
        <v>157</v>
      </c>
      <c r="AJ5" s="54" t="s">
        <v>7</v>
      </c>
      <c r="AK5" s="54"/>
      <c r="AL5" s="68" t="s">
        <v>158</v>
      </c>
      <c r="AM5" s="54" t="s">
        <v>159</v>
      </c>
      <c r="AN5" s="54" t="s">
        <v>925</v>
      </c>
      <c r="AO5" s="54"/>
      <c r="AP5" s="191" t="s">
        <v>7</v>
      </c>
      <c r="AS5" s="314" t="s">
        <v>920</v>
      </c>
      <c r="AT5" s="314" t="s">
        <v>973</v>
      </c>
      <c r="AU5" s="263" t="s">
        <v>617</v>
      </c>
    </row>
    <row r="6" spans="1:48" x14ac:dyDescent="0.2">
      <c r="A6" s="33" t="s">
        <v>46</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4"/>
      <c r="AL6" s="52"/>
      <c r="AM6" s="52"/>
      <c r="AN6" s="52"/>
      <c r="AO6" s="52"/>
      <c r="AP6" s="52"/>
    </row>
    <row r="7" spans="1:48" x14ac:dyDescent="0.2">
      <c r="A7" s="64" t="s">
        <v>27</v>
      </c>
      <c r="B7" s="52">
        <v>0</v>
      </c>
      <c r="C7" s="52"/>
      <c r="D7" s="52">
        <f>SUM(B7:C7)</f>
        <v>0</v>
      </c>
      <c r="E7" s="52">
        <v>50747941</v>
      </c>
      <c r="F7" s="52">
        <v>245048</v>
      </c>
      <c r="G7" s="52">
        <f>E7+F7+F8</f>
        <v>32106561</v>
      </c>
      <c r="H7" s="52">
        <v>0</v>
      </c>
      <c r="I7" s="52"/>
      <c r="J7" s="52">
        <f>SUM(H7:I7)</f>
        <v>0</v>
      </c>
      <c r="K7" s="52">
        <v>0</v>
      </c>
      <c r="L7" s="52"/>
      <c r="M7" s="52">
        <f>SUM(K7:L7)</f>
        <v>0</v>
      </c>
      <c r="N7" s="52">
        <v>0</v>
      </c>
      <c r="O7" s="52"/>
      <c r="P7" s="52">
        <f>SUM(N7:O7)</f>
        <v>0</v>
      </c>
      <c r="Q7" s="52">
        <v>44500</v>
      </c>
      <c r="R7" s="52"/>
      <c r="S7" s="52">
        <f>SUM(Q7:R7)</f>
        <v>44500</v>
      </c>
      <c r="T7" s="52">
        <f>54333233+11583564+4338305</f>
        <v>70255102</v>
      </c>
      <c r="U7" s="52">
        <v>-4338305</v>
      </c>
      <c r="V7" s="52">
        <f>T7+U7+U8</f>
        <v>65916797</v>
      </c>
      <c r="W7" s="52">
        <v>0</v>
      </c>
      <c r="X7" s="52"/>
      <c r="Y7" s="52">
        <f>SUM(W7:X7)</f>
        <v>0</v>
      </c>
      <c r="Z7" s="52">
        <v>100</v>
      </c>
      <c r="AA7" s="52">
        <v>-100</v>
      </c>
      <c r="AB7" s="52">
        <f>SUM(Z7:AA7)</f>
        <v>0</v>
      </c>
      <c r="AC7" s="52">
        <v>0</v>
      </c>
      <c r="AD7" s="52">
        <v>0</v>
      </c>
      <c r="AE7" s="52">
        <f>37159264+5052101+1720526+95800</f>
        <v>44027691</v>
      </c>
      <c r="AF7" s="52">
        <v>-1720525</v>
      </c>
      <c r="AG7" s="253">
        <f>AE7+AF7+AF8</f>
        <v>42211366</v>
      </c>
      <c r="AH7" s="52">
        <v>0</v>
      </c>
      <c r="AI7" s="52">
        <v>0</v>
      </c>
      <c r="AJ7" s="52">
        <f>D7+G7+J7+M7+P7+S7+V7+Y7+AB7+AC7+AD7+AG7+AH7+AI7</f>
        <v>140279224</v>
      </c>
      <c r="AK7" s="54" t="s">
        <v>794</v>
      </c>
      <c r="AL7" s="52">
        <v>0</v>
      </c>
      <c r="AM7" s="52"/>
      <c r="AN7" s="52">
        <v>0</v>
      </c>
      <c r="AO7" s="52"/>
      <c r="AP7" s="52">
        <f>AJ7-AL7+AM7</f>
        <v>140279224</v>
      </c>
      <c r="AQ7" s="315"/>
      <c r="AR7" s="315">
        <f>AP7+AQ7</f>
        <v>140279224</v>
      </c>
      <c r="AS7" s="315">
        <v>140279</v>
      </c>
      <c r="AT7" s="315">
        <v>111337</v>
      </c>
      <c r="AU7" s="315">
        <f>AS7-AT7</f>
        <v>28942</v>
      </c>
      <c r="AV7" s="315"/>
    </row>
    <row r="8" spans="1:48" x14ac:dyDescent="0.2">
      <c r="A8" s="64"/>
      <c r="B8" s="52"/>
      <c r="C8" s="52"/>
      <c r="D8" s="52"/>
      <c r="E8" s="52"/>
      <c r="F8" s="52">
        <v>-18886428</v>
      </c>
      <c r="G8" s="52"/>
      <c r="H8" s="52"/>
      <c r="I8" s="52"/>
      <c r="J8" s="52"/>
      <c r="K8" s="52"/>
      <c r="L8" s="52"/>
      <c r="M8" s="52"/>
      <c r="N8" s="52"/>
      <c r="O8" s="52"/>
      <c r="P8" s="52"/>
      <c r="Q8" s="52"/>
      <c r="R8" s="52"/>
      <c r="S8" s="52"/>
      <c r="T8" s="52"/>
      <c r="U8" s="52"/>
      <c r="V8" s="52"/>
      <c r="W8" s="52"/>
      <c r="X8" s="52"/>
      <c r="Y8" s="52"/>
      <c r="Z8" s="52"/>
      <c r="AA8" s="52"/>
      <c r="AB8" s="52"/>
      <c r="AC8" s="52"/>
      <c r="AD8" s="52"/>
      <c r="AE8" s="52"/>
      <c r="AF8" s="52">
        <v>-95800</v>
      </c>
      <c r="AG8" s="52"/>
      <c r="AH8" s="52"/>
      <c r="AI8" s="52"/>
      <c r="AJ8" s="52"/>
      <c r="AK8" s="54"/>
      <c r="AL8" s="52"/>
      <c r="AM8" s="52"/>
      <c r="AN8" s="52"/>
      <c r="AO8" s="52"/>
      <c r="AP8" s="52"/>
      <c r="AQ8" s="315"/>
      <c r="AR8" s="315"/>
      <c r="AS8" s="315"/>
      <c r="AT8" s="315"/>
      <c r="AU8" s="315"/>
      <c r="AV8" s="315"/>
    </row>
    <row r="9" spans="1:48" x14ac:dyDescent="0.2">
      <c r="A9" s="64" t="s">
        <v>28</v>
      </c>
      <c r="B9" s="52">
        <v>0</v>
      </c>
      <c r="C9" s="52"/>
      <c r="D9" s="52">
        <f>SUM(B9:C9)</f>
        <v>0</v>
      </c>
      <c r="E9" s="52">
        <v>-39272476</v>
      </c>
      <c r="F9" s="52">
        <v>-217698</v>
      </c>
      <c r="G9" s="52">
        <f>E9+F9+F10</f>
        <v>-20603746</v>
      </c>
      <c r="H9" s="52">
        <v>0</v>
      </c>
      <c r="I9" s="52"/>
      <c r="J9" s="52">
        <f>SUM(H9:I9)</f>
        <v>0</v>
      </c>
      <c r="K9" s="52">
        <v>0</v>
      </c>
      <c r="L9" s="52"/>
      <c r="M9" s="52">
        <f>SUM(K9:L9)</f>
        <v>0</v>
      </c>
      <c r="N9" s="52">
        <v>0</v>
      </c>
      <c r="O9" s="52"/>
      <c r="P9" s="52">
        <f>SUM(N9:O9)</f>
        <v>0</v>
      </c>
      <c r="Q9" s="52">
        <v>-90000</v>
      </c>
      <c r="R9" s="52">
        <v>10000</v>
      </c>
      <c r="S9" s="52">
        <f>SUM(Q9:R9)</f>
        <v>-80000</v>
      </c>
      <c r="T9" s="52">
        <f>-59085409-7826042</f>
        <v>-66911451</v>
      </c>
      <c r="U9" s="52">
        <v>4338305</v>
      </c>
      <c r="V9" s="52">
        <f>T9+U9+U10+U11+U12+U13+U14</f>
        <v>-60925842</v>
      </c>
      <c r="W9" s="52">
        <v>0</v>
      </c>
      <c r="X9" s="52"/>
      <c r="Y9" s="52">
        <f>SUM(W9:X9)</f>
        <v>0</v>
      </c>
      <c r="Z9" s="52">
        <f>-549</f>
        <v>-549</v>
      </c>
      <c r="AA9" s="52">
        <v>549</v>
      </c>
      <c r="AB9" s="52">
        <f>SUM(Z9:AA9)</f>
        <v>0</v>
      </c>
      <c r="AC9" s="52">
        <v>0</v>
      </c>
      <c r="AD9" s="52">
        <v>0</v>
      </c>
      <c r="AE9" s="52">
        <f>-37303918-3903381</f>
        <v>-41207299</v>
      </c>
      <c r="AF9" s="52">
        <v>1720525</v>
      </c>
      <c r="AG9" s="253">
        <f>AE9+AF9+AF10+AF11+AF12+AF13+AF14</f>
        <v>-39418962</v>
      </c>
      <c r="AH9" s="52">
        <v>0</v>
      </c>
      <c r="AI9" s="52">
        <v>0</v>
      </c>
      <c r="AJ9" s="52">
        <f>D9+G9+J9+M9+P9+S9+V9+Y9+AB9+AC9+AD9+AG9+AH9+AI9</f>
        <v>-121028550</v>
      </c>
      <c r="AK9" s="54"/>
      <c r="AL9" s="52">
        <v>0</v>
      </c>
      <c r="AM9" s="52">
        <v>0</v>
      </c>
      <c r="AN9" s="52">
        <v>0</v>
      </c>
      <c r="AO9" s="52"/>
      <c r="AP9" s="52">
        <f>AJ9-AL9+AM9</f>
        <v>-121028550</v>
      </c>
      <c r="AQ9" s="315">
        <v>-236493</v>
      </c>
      <c r="AR9" s="315">
        <f>AP9+AQ9</f>
        <v>-121265043</v>
      </c>
      <c r="AS9" s="315">
        <v>-121265</v>
      </c>
      <c r="AT9" s="315">
        <v>-98196</v>
      </c>
      <c r="AU9" s="315">
        <f>AS9-AT9</f>
        <v>-23069</v>
      </c>
      <c r="AV9" s="315"/>
    </row>
    <row r="10" spans="1:48" x14ac:dyDescent="0.2">
      <c r="A10" s="64"/>
      <c r="B10" s="52"/>
      <c r="C10" s="52"/>
      <c r="D10" s="52"/>
      <c r="E10" s="52"/>
      <c r="F10" s="52">
        <v>18886428</v>
      </c>
      <c r="G10" s="52"/>
      <c r="H10" s="52"/>
      <c r="I10" s="52"/>
      <c r="J10" s="52"/>
      <c r="K10" s="52"/>
      <c r="L10" s="52"/>
      <c r="M10" s="52"/>
      <c r="N10" s="52"/>
      <c r="O10" s="52"/>
      <c r="P10" s="52"/>
      <c r="Q10" s="52"/>
      <c r="R10" s="52"/>
      <c r="S10" s="52"/>
      <c r="T10" s="52"/>
      <c r="U10" s="52">
        <v>840644</v>
      </c>
      <c r="V10" s="52"/>
      <c r="W10" s="52"/>
      <c r="X10" s="52"/>
      <c r="Y10" s="52"/>
      <c r="Z10" s="52"/>
      <c r="AA10" s="52"/>
      <c r="AB10" s="52"/>
      <c r="AC10" s="52"/>
      <c r="AD10" s="52"/>
      <c r="AE10" s="52"/>
      <c r="AF10" s="52">
        <v>95800</v>
      </c>
      <c r="AG10" s="52"/>
      <c r="AH10" s="52"/>
      <c r="AI10" s="52"/>
      <c r="AJ10" s="52"/>
      <c r="AK10" s="54"/>
      <c r="AL10" s="52"/>
      <c r="AM10" s="52"/>
      <c r="AN10" s="52"/>
      <c r="AO10" s="52"/>
      <c r="AP10" s="52"/>
      <c r="AQ10" s="315"/>
      <c r="AR10" s="315"/>
      <c r="AS10" s="315"/>
      <c r="AT10" s="315"/>
      <c r="AU10" s="315"/>
      <c r="AV10" s="315"/>
    </row>
    <row r="11" spans="1:48" x14ac:dyDescent="0.2">
      <c r="A11" s="64"/>
      <c r="B11" s="52"/>
      <c r="C11" s="52"/>
      <c r="D11" s="52"/>
      <c r="E11" s="52"/>
      <c r="F11" s="52"/>
      <c r="G11" s="52"/>
      <c r="H11" s="52"/>
      <c r="I11" s="52"/>
      <c r="J11" s="52"/>
      <c r="K11" s="52"/>
      <c r="L11" s="52"/>
      <c r="M11" s="52"/>
      <c r="N11" s="52"/>
      <c r="O11" s="52"/>
      <c r="P11" s="52"/>
      <c r="Q11" s="52"/>
      <c r="R11" s="52"/>
      <c r="S11" s="52"/>
      <c r="T11" s="52"/>
      <c r="U11" s="52">
        <v>113227</v>
      </c>
      <c r="V11" s="52"/>
      <c r="W11" s="52"/>
      <c r="X11" s="52"/>
      <c r="Y11" s="52"/>
      <c r="Z11" s="52"/>
      <c r="AA11" s="52"/>
      <c r="AB11" s="52"/>
      <c r="AC11" s="52"/>
      <c r="AD11" s="52"/>
      <c r="AE11" s="52"/>
      <c r="AF11" s="52">
        <v>-44350</v>
      </c>
      <c r="AG11" s="52"/>
      <c r="AH11" s="52"/>
      <c r="AI11" s="52"/>
      <c r="AJ11" s="52"/>
      <c r="AK11" s="54"/>
      <c r="AL11" s="52"/>
      <c r="AM11" s="52"/>
      <c r="AN11" s="52"/>
      <c r="AO11" s="52"/>
      <c r="AP11" s="52"/>
      <c r="AQ11" s="315"/>
      <c r="AR11" s="315"/>
      <c r="AS11" s="315"/>
      <c r="AT11" s="315"/>
      <c r="AU11" s="315"/>
      <c r="AV11" s="315"/>
    </row>
    <row r="12" spans="1:48" x14ac:dyDescent="0.2">
      <c r="A12" s="64"/>
      <c r="B12" s="52"/>
      <c r="C12" s="52"/>
      <c r="D12" s="52"/>
      <c r="E12" s="52"/>
      <c r="F12" s="52"/>
      <c r="G12" s="52"/>
      <c r="H12" s="52"/>
      <c r="I12" s="52"/>
      <c r="J12" s="52"/>
      <c r="K12" s="52"/>
      <c r="L12" s="52"/>
      <c r="M12" s="52"/>
      <c r="N12" s="52"/>
      <c r="O12" s="52"/>
      <c r="P12" s="52"/>
      <c r="Q12" s="52"/>
      <c r="R12" s="52"/>
      <c r="S12" s="52"/>
      <c r="T12" s="52"/>
      <c r="U12" s="52">
        <v>165916</v>
      </c>
      <c r="V12" s="52"/>
      <c r="W12" s="52"/>
      <c r="X12" s="52"/>
      <c r="Y12" s="52"/>
      <c r="Z12" s="52"/>
      <c r="AA12" s="52"/>
      <c r="AB12" s="52"/>
      <c r="AC12" s="52"/>
      <c r="AD12" s="52"/>
      <c r="AE12" s="52"/>
      <c r="AF12" s="52">
        <v>300</v>
      </c>
      <c r="AG12" s="52"/>
      <c r="AH12" s="52"/>
      <c r="AI12" s="52"/>
      <c r="AJ12" s="52"/>
      <c r="AK12" s="54"/>
      <c r="AL12" s="52"/>
      <c r="AM12" s="52"/>
      <c r="AN12" s="52"/>
      <c r="AO12" s="52"/>
      <c r="AP12" s="52"/>
      <c r="AQ12" s="315"/>
      <c r="AR12" s="315"/>
      <c r="AS12" s="315"/>
      <c r="AT12" s="315"/>
      <c r="AU12" s="315"/>
      <c r="AV12" s="315"/>
    </row>
    <row r="13" spans="1:48" x14ac:dyDescent="0.2">
      <c r="A13" s="64"/>
      <c r="B13" s="52"/>
      <c r="C13" s="52"/>
      <c r="D13" s="52"/>
      <c r="E13" s="52"/>
      <c r="F13" s="52"/>
      <c r="G13" s="52"/>
      <c r="H13" s="52"/>
      <c r="I13" s="52"/>
      <c r="J13" s="52"/>
      <c r="K13" s="52"/>
      <c r="L13" s="52"/>
      <c r="M13" s="52"/>
      <c r="N13" s="52"/>
      <c r="O13" s="52"/>
      <c r="P13" s="52"/>
      <c r="Q13" s="52"/>
      <c r="R13" s="52"/>
      <c r="S13" s="52"/>
      <c r="T13" s="52"/>
      <c r="U13" s="52">
        <v>163279</v>
      </c>
      <c r="V13" s="52"/>
      <c r="W13" s="52"/>
      <c r="X13" s="52"/>
      <c r="Y13" s="52"/>
      <c r="Z13" s="52"/>
      <c r="AA13" s="52"/>
      <c r="AB13" s="52"/>
      <c r="AC13" s="52"/>
      <c r="AD13" s="52"/>
      <c r="AE13" s="52"/>
      <c r="AF13" s="52">
        <v>-12663</v>
      </c>
      <c r="AG13" s="52"/>
      <c r="AH13" s="52"/>
      <c r="AI13" s="52"/>
      <c r="AJ13" s="52"/>
      <c r="AK13" s="54"/>
      <c r="AL13" s="52"/>
      <c r="AM13" s="52"/>
      <c r="AN13" s="52"/>
      <c r="AO13" s="52"/>
      <c r="AP13" s="52"/>
      <c r="AQ13" s="315"/>
      <c r="AR13" s="315"/>
      <c r="AS13" s="315"/>
      <c r="AT13" s="315"/>
      <c r="AU13" s="315"/>
      <c r="AV13" s="315"/>
    </row>
    <row r="14" spans="1:48" x14ac:dyDescent="0.2">
      <c r="A14" s="64"/>
      <c r="B14" s="52"/>
      <c r="C14" s="52"/>
      <c r="D14" s="52"/>
      <c r="E14" s="52"/>
      <c r="F14" s="52"/>
      <c r="G14" s="52"/>
      <c r="H14" s="52"/>
      <c r="I14" s="52"/>
      <c r="J14" s="52"/>
      <c r="K14" s="52"/>
      <c r="L14" s="52"/>
      <c r="M14" s="52"/>
      <c r="N14" s="52"/>
      <c r="O14" s="52"/>
      <c r="P14" s="52"/>
      <c r="Q14" s="52"/>
      <c r="R14" s="52"/>
      <c r="S14" s="52"/>
      <c r="T14" s="52"/>
      <c r="U14" s="52">
        <v>364238</v>
      </c>
      <c r="V14" s="52"/>
      <c r="W14" s="52"/>
      <c r="X14" s="52"/>
      <c r="Y14" s="52"/>
      <c r="Z14" s="52"/>
      <c r="AA14" s="52"/>
      <c r="AB14" s="52"/>
      <c r="AC14" s="52"/>
      <c r="AD14" s="52"/>
      <c r="AE14" s="52"/>
      <c r="AF14" s="52">
        <v>28725</v>
      </c>
      <c r="AG14" s="52"/>
      <c r="AH14" s="52"/>
      <c r="AI14" s="52"/>
      <c r="AJ14" s="52"/>
      <c r="AK14" s="54"/>
      <c r="AL14" s="52"/>
      <c r="AM14" s="52"/>
      <c r="AN14" s="52"/>
      <c r="AO14" s="52"/>
      <c r="AP14" s="52"/>
      <c r="AQ14" s="315"/>
      <c r="AR14" s="315"/>
      <c r="AS14" s="315"/>
      <c r="AT14" s="315"/>
      <c r="AU14" s="315"/>
      <c r="AV14" s="315"/>
    </row>
    <row r="15" spans="1:48" x14ac:dyDescent="0.2">
      <c r="A15" s="64"/>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93"/>
      <c r="AL15" s="209"/>
      <c r="AM15" s="209"/>
      <c r="AN15" s="209"/>
      <c r="AO15" s="209"/>
      <c r="AP15" s="209"/>
      <c r="AQ15" s="315"/>
      <c r="AR15" s="316"/>
      <c r="AS15" s="316"/>
      <c r="AT15" s="316"/>
      <c r="AU15" s="316"/>
      <c r="AV15" s="315"/>
    </row>
    <row r="16" spans="1:48" x14ac:dyDescent="0.2">
      <c r="A16" s="33" t="s">
        <v>48</v>
      </c>
      <c r="B16" s="52">
        <f>SUM(B7:B9)</f>
        <v>0</v>
      </c>
      <c r="C16" s="52"/>
      <c r="D16" s="52">
        <f>SUM(D7:D9)</f>
        <v>0</v>
      </c>
      <c r="E16" s="52">
        <f>SUM(E7:E9)</f>
        <v>11475465</v>
      </c>
      <c r="F16" s="52"/>
      <c r="G16" s="52">
        <f>SUM(G7:G9)</f>
        <v>11502815</v>
      </c>
      <c r="H16" s="52">
        <f>SUM(H7:H9)</f>
        <v>0</v>
      </c>
      <c r="I16" s="52"/>
      <c r="J16" s="52">
        <f>SUM(J7:J9)</f>
        <v>0</v>
      </c>
      <c r="K16" s="52">
        <f>SUM(K7:K9)</f>
        <v>0</v>
      </c>
      <c r="L16" s="52"/>
      <c r="M16" s="52">
        <f>SUM(M7:M9)</f>
        <v>0</v>
      </c>
      <c r="N16" s="52">
        <f>SUM(N7:N9)</f>
        <v>0</v>
      </c>
      <c r="O16" s="52"/>
      <c r="P16" s="52">
        <f>SUM(P7:P9)</f>
        <v>0</v>
      </c>
      <c r="Q16" s="52">
        <f>SUM(Q7:Q9)</f>
        <v>-45500</v>
      </c>
      <c r="R16" s="52"/>
      <c r="S16" s="52">
        <f>SUM(S7:S9)</f>
        <v>-35500</v>
      </c>
      <c r="T16" s="52">
        <f>SUM(T7:T9)</f>
        <v>3343651</v>
      </c>
      <c r="U16" s="52"/>
      <c r="V16" s="52">
        <f>SUM(V7:V9)</f>
        <v>4990955</v>
      </c>
      <c r="W16" s="52">
        <f>SUM(W7:W9)</f>
        <v>0</v>
      </c>
      <c r="X16" s="52"/>
      <c r="Y16" s="52">
        <f>SUM(Y7:Y9)</f>
        <v>0</v>
      </c>
      <c r="Z16" s="52">
        <f>SUM(Z7:Z9)</f>
        <v>-449</v>
      </c>
      <c r="AA16" s="52"/>
      <c r="AB16" s="52">
        <f>SUM(AB7:AB9)</f>
        <v>0</v>
      </c>
      <c r="AC16" s="52">
        <f>SUM(AC7:AC9)</f>
        <v>0</v>
      </c>
      <c r="AD16" s="52">
        <f>SUM(AD7:AD9)</f>
        <v>0</v>
      </c>
      <c r="AE16" s="52">
        <f>SUM(AE7:AE9)</f>
        <v>2820392</v>
      </c>
      <c r="AF16" s="52"/>
      <c r="AG16" s="52">
        <f>SUM(AG7:AG9)</f>
        <v>2792404</v>
      </c>
      <c r="AH16" s="52">
        <f>SUM(AH7:AH9)</f>
        <v>0</v>
      </c>
      <c r="AI16" s="52">
        <f>SUM(AI7:AI9)</f>
        <v>0</v>
      </c>
      <c r="AJ16" s="52">
        <f>SUM(AJ7:AJ9)</f>
        <v>19250674</v>
      </c>
      <c r="AK16" s="54"/>
      <c r="AL16" s="52"/>
      <c r="AM16" s="52"/>
      <c r="AN16" s="52">
        <f>SUM(AN7:AN9)</f>
        <v>0</v>
      </c>
      <c r="AO16" s="52">
        <f>SUM(AO7:AO9)</f>
        <v>0</v>
      </c>
      <c r="AP16" s="52">
        <f>SUM(AP7:AP9)</f>
        <v>19250674</v>
      </c>
      <c r="AQ16" s="315"/>
      <c r="AR16" s="52">
        <f>SUM(AR7:AR9)</f>
        <v>19014181</v>
      </c>
      <c r="AS16" s="315">
        <f>SUM(AS7:AS15)</f>
        <v>19014</v>
      </c>
      <c r="AT16" s="315">
        <f>SUM(AT7:AT15)</f>
        <v>13141</v>
      </c>
      <c r="AU16" s="315">
        <f>SUM(AU7:AU15)</f>
        <v>5873</v>
      </c>
      <c r="AV16" s="315"/>
    </row>
    <row r="17" spans="1:48" x14ac:dyDescent="0.2">
      <c r="A17" s="64"/>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4"/>
      <c r="AL17" s="52"/>
      <c r="AM17" s="52"/>
      <c r="AN17" s="52"/>
      <c r="AO17" s="52"/>
      <c r="AP17" s="52"/>
      <c r="AQ17" s="315"/>
      <c r="AR17" s="315"/>
      <c r="AS17" s="315"/>
      <c r="AT17" s="315"/>
      <c r="AU17" s="315"/>
      <c r="AV17" s="315"/>
    </row>
    <row r="18" spans="1:48" x14ac:dyDescent="0.2">
      <c r="A18" s="64" t="s">
        <v>29</v>
      </c>
      <c r="B18" s="52">
        <f>3343</f>
        <v>3343</v>
      </c>
      <c r="C18" s="52">
        <v>1082752</v>
      </c>
      <c r="D18" s="52">
        <f>SUM(B18:C18)</f>
        <v>1086095</v>
      </c>
      <c r="E18" s="52">
        <f>92</f>
        <v>92</v>
      </c>
      <c r="F18" s="52">
        <v>202541</v>
      </c>
      <c r="G18" s="52">
        <f>SUM(E18:F18)</f>
        <v>202633</v>
      </c>
      <c r="H18" s="52">
        <v>96000</v>
      </c>
      <c r="I18" s="52">
        <v>-96000</v>
      </c>
      <c r="J18" s="52">
        <f>SUM(H18:I18)</f>
        <v>0</v>
      </c>
      <c r="K18" s="52">
        <f>45000</f>
        <v>45000</v>
      </c>
      <c r="L18" s="52">
        <v>-45000</v>
      </c>
      <c r="M18" s="52">
        <f>SUM(K18:L18)</f>
        <v>0</v>
      </c>
      <c r="N18" s="52">
        <f>102071</f>
        <v>102071</v>
      </c>
      <c r="O18" s="52"/>
      <c r="P18" s="52">
        <f>SUM(N18:O18)</f>
        <v>102071</v>
      </c>
      <c r="Q18" s="52">
        <f>548342+1800000+1938400+894</f>
        <v>4287636</v>
      </c>
      <c r="R18" s="52"/>
      <c r="S18" s="52">
        <f>SUM(Q18:R18)</f>
        <v>4287636</v>
      </c>
      <c r="T18" s="52">
        <f>5522728-4338305+187852</f>
        <v>1372275</v>
      </c>
      <c r="U18" s="52">
        <v>-127800</v>
      </c>
      <c r="V18" s="253">
        <f>T18+U18+U19+U20</f>
        <v>291205</v>
      </c>
      <c r="W18" s="52">
        <v>0</v>
      </c>
      <c r="X18" s="52"/>
      <c r="Y18" s="52">
        <f>SUM(W18:X18)</f>
        <v>0</v>
      </c>
      <c r="Z18" s="52">
        <f>53350+45</f>
        <v>53395</v>
      </c>
      <c r="AA18" s="52">
        <v>100</v>
      </c>
      <c r="AB18" s="52">
        <f>SUM(Z18:AA18)</f>
        <v>53495</v>
      </c>
      <c r="AC18" s="52">
        <v>0</v>
      </c>
      <c r="AD18" s="52">
        <v>0</v>
      </c>
      <c r="AE18" s="52">
        <f>2006526-1720526-95800+757</f>
        <v>190957</v>
      </c>
      <c r="AF18" s="52"/>
      <c r="AG18" s="253">
        <f>SUM(AE18:AF18)</f>
        <v>190957</v>
      </c>
      <c r="AH18" s="52">
        <v>0</v>
      </c>
      <c r="AI18" s="52">
        <v>0</v>
      </c>
      <c r="AJ18" s="52">
        <f>D18+G18+J18+M18+P18+S18+V18+Y18+AB18+AC18+AD18+AG18+AH18+AI18</f>
        <v>6214092</v>
      </c>
      <c r="AK18" s="54" t="s">
        <v>651</v>
      </c>
      <c r="AL18" s="52">
        <v>3240000</v>
      </c>
      <c r="AM18" s="52">
        <v>0</v>
      </c>
      <c r="AN18" s="52">
        <v>0</v>
      </c>
      <c r="AO18" s="52"/>
      <c r="AP18" s="52">
        <f>AJ18-AL18+AM18-AL19</f>
        <v>1891340</v>
      </c>
      <c r="AQ18" s="315"/>
      <c r="AR18" s="315">
        <f>AP18+AQ18</f>
        <v>1891340</v>
      </c>
      <c r="AS18" s="315">
        <v>1891</v>
      </c>
      <c r="AT18" s="315">
        <v>2247</v>
      </c>
      <c r="AU18" s="315">
        <f>AS18-AT18</f>
        <v>-356</v>
      </c>
      <c r="AV18" s="315"/>
    </row>
    <row r="19" spans="1:48" x14ac:dyDescent="0.2">
      <c r="A19" s="64"/>
      <c r="B19" s="52"/>
      <c r="C19" s="52"/>
      <c r="D19" s="52"/>
      <c r="E19" s="52"/>
      <c r="F19" s="52"/>
      <c r="G19" s="52"/>
      <c r="H19" s="52"/>
      <c r="I19" s="52"/>
      <c r="J19" s="52"/>
      <c r="K19" s="52"/>
      <c r="L19" s="52"/>
      <c r="M19" s="52"/>
      <c r="N19" s="52"/>
      <c r="O19" s="52"/>
      <c r="P19" s="52"/>
      <c r="Q19" s="52"/>
      <c r="R19" s="52"/>
      <c r="S19" s="52"/>
      <c r="T19" s="52"/>
      <c r="U19" s="52">
        <v>-112626</v>
      </c>
      <c r="V19" s="52"/>
      <c r="W19" s="52"/>
      <c r="X19" s="52"/>
      <c r="Y19" s="52"/>
      <c r="Z19" s="52"/>
      <c r="AA19" s="52"/>
      <c r="AB19" s="52"/>
      <c r="AC19" s="52"/>
      <c r="AD19" s="52"/>
      <c r="AE19" s="52"/>
      <c r="AF19" s="52"/>
      <c r="AG19" s="52"/>
      <c r="AH19" s="52"/>
      <c r="AI19" s="52"/>
      <c r="AJ19" s="52"/>
      <c r="AK19" s="54"/>
      <c r="AL19" s="52">
        <v>1082752</v>
      </c>
      <c r="AM19" s="52"/>
      <c r="AN19" s="52"/>
      <c r="AO19" s="52"/>
      <c r="AP19" s="52"/>
      <c r="AQ19" s="315"/>
      <c r="AR19" s="315"/>
      <c r="AS19" s="315"/>
      <c r="AT19" s="315"/>
      <c r="AU19" s="315"/>
      <c r="AV19" s="315"/>
    </row>
    <row r="20" spans="1:48" x14ac:dyDescent="0.2">
      <c r="A20" s="64"/>
      <c r="B20" s="52"/>
      <c r="C20" s="52"/>
      <c r="D20" s="52"/>
      <c r="E20" s="52"/>
      <c r="F20" s="52"/>
      <c r="G20" s="52"/>
      <c r="H20" s="52"/>
      <c r="I20" s="52"/>
      <c r="J20" s="52"/>
      <c r="K20" s="52"/>
      <c r="L20" s="52"/>
      <c r="M20" s="52"/>
      <c r="N20" s="52"/>
      <c r="O20" s="52"/>
      <c r="P20" s="52"/>
      <c r="Q20" s="52"/>
      <c r="R20" s="52"/>
      <c r="S20" s="52"/>
      <c r="T20" s="52"/>
      <c r="U20" s="52">
        <v>-840644</v>
      </c>
      <c r="V20" s="52"/>
      <c r="W20" s="52"/>
      <c r="X20" s="52"/>
      <c r="Y20" s="52"/>
      <c r="Z20" s="52"/>
      <c r="AA20" s="52"/>
      <c r="AB20" s="52"/>
      <c r="AC20" s="52"/>
      <c r="AD20" s="52"/>
      <c r="AE20" s="52"/>
      <c r="AF20" s="52"/>
      <c r="AG20" s="52"/>
      <c r="AH20" s="52"/>
      <c r="AI20" s="52"/>
      <c r="AJ20" s="52"/>
      <c r="AK20" s="54"/>
      <c r="AL20" s="52"/>
      <c r="AM20" s="52"/>
      <c r="AN20" s="52"/>
      <c r="AO20" s="52"/>
      <c r="AP20" s="52"/>
      <c r="AQ20" s="315"/>
      <c r="AR20" s="315"/>
      <c r="AS20" s="315"/>
      <c r="AT20" s="315"/>
      <c r="AU20" s="315"/>
      <c r="AV20" s="315"/>
    </row>
    <row r="21" spans="1:48" x14ac:dyDescent="0.2">
      <c r="A21" s="55" t="s">
        <v>47</v>
      </c>
      <c r="B21" s="52">
        <v>0</v>
      </c>
      <c r="C21" s="52"/>
      <c r="D21" s="52">
        <f>SUM(B21:C21)</f>
        <v>0</v>
      </c>
      <c r="E21" s="52">
        <v>0</v>
      </c>
      <c r="F21" s="52">
        <v>-180562</v>
      </c>
      <c r="G21" s="52">
        <f>SUM(E21:F21)</f>
        <v>-180562</v>
      </c>
      <c r="H21" s="52">
        <v>0</v>
      </c>
      <c r="I21" s="52">
        <v>0</v>
      </c>
      <c r="J21" s="52">
        <f>SUM(H21:I21)</f>
        <v>0</v>
      </c>
      <c r="K21" s="52">
        <v>0</v>
      </c>
      <c r="L21" s="52">
        <v>0</v>
      </c>
      <c r="M21" s="52">
        <f>SUM(K21:L21)</f>
        <v>0</v>
      </c>
      <c r="N21" s="52">
        <v>0</v>
      </c>
      <c r="O21" s="52"/>
      <c r="P21" s="52">
        <f>SUM(N21:O21)</f>
        <v>0</v>
      </c>
      <c r="Q21" s="52">
        <f>-9079</f>
        <v>-9079</v>
      </c>
      <c r="R21" s="52"/>
      <c r="S21" s="52">
        <f>SUM(Q21:R21)</f>
        <v>-9079</v>
      </c>
      <c r="T21" s="52">
        <f>-1708889-42637-1304420</f>
        <v>-3055946</v>
      </c>
      <c r="U21" s="52">
        <v>-36920</v>
      </c>
      <c r="V21" s="253">
        <f>T21+U21+U22+U23</f>
        <v>-3097682</v>
      </c>
      <c r="W21" s="52">
        <v>0</v>
      </c>
      <c r="X21" s="52"/>
      <c r="Y21" s="52">
        <f>SUM(W21:X21)</f>
        <v>0</v>
      </c>
      <c r="Z21" s="52">
        <v>-6105</v>
      </c>
      <c r="AA21" s="52"/>
      <c r="AB21" s="52">
        <f>SUM(Z21:AA21)</f>
        <v>-6105</v>
      </c>
      <c r="AC21" s="52">
        <v>0</v>
      </c>
      <c r="AD21" s="52">
        <v>0</v>
      </c>
      <c r="AE21" s="52">
        <f>-1225045-75970-681235-9000</f>
        <v>-1991250</v>
      </c>
      <c r="AF21" s="52">
        <v>-8125</v>
      </c>
      <c r="AG21" s="253">
        <f>AE21+AF21+AF22+AF23</f>
        <v>-2000437</v>
      </c>
      <c r="AH21" s="52">
        <v>0</v>
      </c>
      <c r="AI21" s="52">
        <v>0</v>
      </c>
      <c r="AJ21" s="52">
        <f>D21+G21+J21+M21+P21+S21+V21+Y21+AB21+AC21+AD21+AG21+AH21+AI21</f>
        <v>-5293865</v>
      </c>
      <c r="AK21" s="54"/>
      <c r="AL21" s="52">
        <v>0</v>
      </c>
      <c r="AM21" s="52">
        <v>0</v>
      </c>
      <c r="AN21" s="52">
        <v>0</v>
      </c>
      <c r="AO21" s="52"/>
      <c r="AP21" s="52">
        <f>AJ21-AL21+AM21</f>
        <v>-5293865</v>
      </c>
      <c r="AQ21" s="315"/>
      <c r="AR21" s="315">
        <f>AP21+AQ21</f>
        <v>-5293865</v>
      </c>
      <c r="AS21" s="315">
        <v>-5294</v>
      </c>
      <c r="AT21" s="315">
        <v>-3861</v>
      </c>
      <c r="AU21" s="315">
        <f>AS21-AT21</f>
        <v>-1433</v>
      </c>
      <c r="AV21" s="315"/>
    </row>
    <row r="22" spans="1:48" x14ac:dyDescent="0.2">
      <c r="A22" s="55"/>
      <c r="B22" s="52"/>
      <c r="C22" s="52"/>
      <c r="D22" s="52"/>
      <c r="E22" s="52"/>
      <c r="F22" s="52"/>
      <c r="G22" s="52"/>
      <c r="H22" s="52"/>
      <c r="I22" s="52"/>
      <c r="J22" s="52"/>
      <c r="K22" s="52"/>
      <c r="L22" s="52"/>
      <c r="M22" s="52"/>
      <c r="N22" s="52"/>
      <c r="O22" s="52"/>
      <c r="P22" s="52"/>
      <c r="Q22" s="52"/>
      <c r="R22" s="52"/>
      <c r="S22" s="52"/>
      <c r="T22" s="52"/>
      <c r="U22" s="52">
        <v>-7719</v>
      </c>
      <c r="V22" s="52"/>
      <c r="W22" s="52"/>
      <c r="X22" s="52"/>
      <c r="Y22" s="52"/>
      <c r="Z22" s="52"/>
      <c r="AA22" s="52"/>
      <c r="AB22" s="52"/>
      <c r="AC22" s="52"/>
      <c r="AD22" s="52"/>
      <c r="AE22" s="52"/>
      <c r="AF22" s="52">
        <v>-1062</v>
      </c>
      <c r="AG22" s="52"/>
      <c r="AH22" s="52"/>
      <c r="AI22" s="52"/>
      <c r="AJ22" s="52"/>
      <c r="AK22" s="54"/>
      <c r="AL22" s="52"/>
      <c r="AM22" s="52"/>
      <c r="AN22" s="52"/>
      <c r="AO22" s="52"/>
      <c r="AP22" s="52"/>
      <c r="AQ22" s="315"/>
      <c r="AR22" s="315"/>
      <c r="AS22" s="315"/>
      <c r="AT22" s="315"/>
      <c r="AU22" s="315"/>
      <c r="AV22" s="315"/>
    </row>
    <row r="23" spans="1:48" x14ac:dyDescent="0.2">
      <c r="A23" s="55"/>
      <c r="B23" s="52"/>
      <c r="C23" s="52"/>
      <c r="D23" s="52"/>
      <c r="E23" s="52"/>
      <c r="F23" s="52"/>
      <c r="G23" s="52"/>
      <c r="H23" s="52"/>
      <c r="I23" s="52"/>
      <c r="J23" s="52"/>
      <c r="K23" s="52"/>
      <c r="L23" s="52"/>
      <c r="M23" s="52"/>
      <c r="N23" s="52"/>
      <c r="O23" s="52"/>
      <c r="P23" s="52"/>
      <c r="Q23" s="52"/>
      <c r="R23" s="52"/>
      <c r="S23" s="52"/>
      <c r="T23" s="52"/>
      <c r="U23" s="52">
        <v>2903</v>
      </c>
      <c r="V23" s="52"/>
      <c r="W23" s="52"/>
      <c r="X23" s="52"/>
      <c r="Y23" s="52"/>
      <c r="Z23" s="52"/>
      <c r="AA23" s="52"/>
      <c r="AB23" s="52"/>
      <c r="AC23" s="52"/>
      <c r="AD23" s="52"/>
      <c r="AE23" s="52"/>
      <c r="AF23" s="52"/>
      <c r="AG23" s="52"/>
      <c r="AH23" s="52"/>
      <c r="AI23" s="52"/>
      <c r="AJ23" s="52"/>
      <c r="AK23" s="54"/>
      <c r="AL23" s="52"/>
      <c r="AM23" s="52"/>
      <c r="AN23" s="52"/>
      <c r="AO23" s="52"/>
      <c r="AP23" s="52"/>
      <c r="AQ23" s="315"/>
      <c r="AR23" s="315"/>
      <c r="AS23" s="315"/>
      <c r="AT23" s="315"/>
      <c r="AU23" s="315"/>
      <c r="AV23" s="315"/>
    </row>
    <row r="24" spans="1:48" x14ac:dyDescent="0.2">
      <c r="A24" s="64" t="s">
        <v>30</v>
      </c>
      <c r="B24" s="52">
        <f>-2303018-6000+1082752-5951</f>
        <v>-1232217</v>
      </c>
      <c r="C24" s="52">
        <v>-49500</v>
      </c>
      <c r="D24" s="52">
        <f>B24+C24+C25+C26+C27+C28</f>
        <v>-12242354</v>
      </c>
      <c r="E24" s="52">
        <f>-2287004+1650-5252-515+10398+3106+5000</f>
        <v>-2272617</v>
      </c>
      <c r="F24" s="52">
        <f>-82583</f>
        <v>-82583</v>
      </c>
      <c r="G24" s="52">
        <f>E24+F24+F25+F26</f>
        <v>-2185213</v>
      </c>
      <c r="H24" s="52">
        <f>-6081</f>
        <v>-6081</v>
      </c>
      <c r="I24" s="52">
        <v>6081</v>
      </c>
      <c r="J24" s="52">
        <f>SUM(H24:I24)</f>
        <v>0</v>
      </c>
      <c r="K24" s="52">
        <f>-1961</f>
        <v>-1961</v>
      </c>
      <c r="L24" s="52">
        <v>1961</v>
      </c>
      <c r="M24" s="52">
        <f>SUM(K24:L24)</f>
        <v>0</v>
      </c>
      <c r="N24" s="52">
        <f>-187751-173</f>
        <v>-187924</v>
      </c>
      <c r="O24" s="52"/>
      <c r="P24" s="52">
        <f>SUM(N24:O24)</f>
        <v>-187924</v>
      </c>
      <c r="Q24" s="52">
        <f>-5454616+187683-2169885</f>
        <v>-7436818</v>
      </c>
      <c r="R24" s="52">
        <v>48531</v>
      </c>
      <c r="S24" s="52">
        <f>Q24+R24+R25+R26+R27+R28+R29</f>
        <v>-7031525</v>
      </c>
      <c r="T24" s="52">
        <f>-5418439+1569176</f>
        <v>-3849263</v>
      </c>
      <c r="U24" s="52">
        <v>49681</v>
      </c>
      <c r="V24" s="253">
        <f>T24+U24+U25+U26+U27+U28+U29+U30+U31+U32</f>
        <v>-4781185</v>
      </c>
      <c r="W24" s="52">
        <f>-4335</f>
        <v>-4335</v>
      </c>
      <c r="X24" s="52">
        <v>-106</v>
      </c>
      <c r="Y24" s="52">
        <f>W24+X24+X25</f>
        <v>-4435</v>
      </c>
      <c r="Z24" s="52">
        <f>-6762</f>
        <v>-6762</v>
      </c>
      <c r="AA24" s="52">
        <v>-549</v>
      </c>
      <c r="AB24" s="52">
        <f>SUM(Z24:AA24)</f>
        <v>-7311</v>
      </c>
      <c r="AC24" s="52">
        <f>-6172-70</f>
        <v>-6242</v>
      </c>
      <c r="AD24" s="52">
        <f>-2937</f>
        <v>-2937</v>
      </c>
      <c r="AE24" s="52">
        <f>-2132616+14215-50769</f>
        <v>-2169170</v>
      </c>
      <c r="AF24" s="52">
        <v>8125</v>
      </c>
      <c r="AG24" s="52">
        <f>AE24+AF24+AF25+AF26+AF27+AF28+AF29+AF30</f>
        <v>-2176046</v>
      </c>
      <c r="AH24" s="52">
        <f>-2934</f>
        <v>-2934</v>
      </c>
      <c r="AI24" s="52">
        <f>-3017</f>
        <v>-3017</v>
      </c>
      <c r="AJ24" s="52">
        <f>D24+G24+J24+M24+P24+S24+V24+Y24+AB24+AC24+AD24+AG24+AH24+AI24</f>
        <v>-28631123</v>
      </c>
      <c r="AK24" s="54" t="s">
        <v>650</v>
      </c>
      <c r="AL24" s="52">
        <v>0</v>
      </c>
      <c r="AM24" s="52">
        <v>1800000</v>
      </c>
      <c r="AN24" s="52">
        <v>0</v>
      </c>
      <c r="AO24" s="52"/>
      <c r="AP24" s="52">
        <f>AJ24-AL24+AM24-AL25+AM25-AL26+AM26-AL27+AM27-AL28+AM28-AL29+AM29-AL30+AM30</f>
        <v>-17591809</v>
      </c>
      <c r="AQ24" s="315">
        <v>236493</v>
      </c>
      <c r="AR24" s="315">
        <f>AP24+AQ24</f>
        <v>-17355316</v>
      </c>
      <c r="AS24" s="315">
        <v>-17355</v>
      </c>
      <c r="AT24" s="315">
        <v>-10762</v>
      </c>
      <c r="AU24" s="315">
        <f>AS24-AT24</f>
        <v>-6593</v>
      </c>
      <c r="AV24" s="315"/>
    </row>
    <row r="25" spans="1:48" x14ac:dyDescent="0.2">
      <c r="A25" s="64"/>
      <c r="B25" s="52"/>
      <c r="C25" s="52">
        <v>-8235</v>
      </c>
      <c r="D25" s="52"/>
      <c r="E25" s="52"/>
      <c r="F25" s="52">
        <v>-10575</v>
      </c>
      <c r="G25" s="52"/>
      <c r="H25" s="52"/>
      <c r="I25" s="52"/>
      <c r="J25" s="52"/>
      <c r="K25" s="52"/>
      <c r="L25" s="52"/>
      <c r="M25" s="52"/>
      <c r="N25" s="52"/>
      <c r="O25" s="52"/>
      <c r="P25" s="52"/>
      <c r="Q25" s="52"/>
      <c r="R25" s="52">
        <v>5830</v>
      </c>
      <c r="S25" s="52"/>
      <c r="T25" s="52"/>
      <c r="U25" s="52">
        <v>62000</v>
      </c>
      <c r="V25" s="52"/>
      <c r="W25" s="52"/>
      <c r="X25" s="52">
        <v>6</v>
      </c>
      <c r="Y25" s="52"/>
      <c r="Z25" s="52"/>
      <c r="AA25" s="52"/>
      <c r="AB25" s="52"/>
      <c r="AC25" s="52"/>
      <c r="AD25" s="52"/>
      <c r="AE25" s="52"/>
      <c r="AF25" s="52">
        <v>1062</v>
      </c>
      <c r="AG25" s="52"/>
      <c r="AH25" s="52"/>
      <c r="AI25" s="52"/>
      <c r="AJ25" s="52"/>
      <c r="AK25" s="54" t="s">
        <v>652</v>
      </c>
      <c r="AL25" s="52">
        <v>0</v>
      </c>
      <c r="AM25" s="52">
        <v>1440000</v>
      </c>
      <c r="AN25" s="52"/>
      <c r="AO25" s="52"/>
      <c r="AP25" s="52"/>
      <c r="AQ25" s="315"/>
      <c r="AR25" s="315"/>
      <c r="AS25" s="315"/>
      <c r="AT25" s="315"/>
      <c r="AU25" s="315"/>
      <c r="AV25" s="315"/>
    </row>
    <row r="26" spans="1:48" x14ac:dyDescent="0.2">
      <c r="A26" s="64"/>
      <c r="B26" s="52"/>
      <c r="C26" s="52">
        <v>-9869650</v>
      </c>
      <c r="D26" s="52"/>
      <c r="E26" s="52"/>
      <c r="F26" s="52">
        <v>180562</v>
      </c>
      <c r="G26" s="52"/>
      <c r="H26" s="52"/>
      <c r="I26" s="52"/>
      <c r="J26" s="52"/>
      <c r="K26" s="52"/>
      <c r="L26" s="52"/>
      <c r="M26" s="52"/>
      <c r="N26" s="52"/>
      <c r="O26" s="52"/>
      <c r="P26" s="52"/>
      <c r="Q26" s="52"/>
      <c r="R26" s="52">
        <v>12000</v>
      </c>
      <c r="S26" s="52"/>
      <c r="T26" s="52"/>
      <c r="U26" s="52">
        <v>450</v>
      </c>
      <c r="V26" s="52"/>
      <c r="W26" s="52"/>
      <c r="X26" s="52"/>
      <c r="Y26" s="52"/>
      <c r="Z26" s="52"/>
      <c r="AA26" s="52"/>
      <c r="AB26" s="52"/>
      <c r="AC26" s="52"/>
      <c r="AD26" s="52"/>
      <c r="AE26" s="52"/>
      <c r="AF26" s="52">
        <v>-50769</v>
      </c>
      <c r="AG26" s="52"/>
      <c r="AH26" s="52"/>
      <c r="AI26" s="52"/>
      <c r="AJ26" s="52"/>
      <c r="AK26" s="54" t="s">
        <v>924</v>
      </c>
      <c r="AL26" s="52">
        <v>1588168</v>
      </c>
      <c r="AM26" s="52">
        <v>0</v>
      </c>
      <c r="AN26" s="52"/>
      <c r="AO26" s="52"/>
      <c r="AP26" s="52"/>
      <c r="AQ26" s="315"/>
      <c r="AR26" s="315"/>
      <c r="AS26" s="315"/>
      <c r="AT26" s="315"/>
      <c r="AU26" s="315"/>
      <c r="AV26" s="315"/>
    </row>
    <row r="27" spans="1:48" x14ac:dyDescent="0.2">
      <c r="A27" s="64"/>
      <c r="B27" s="52"/>
      <c r="C27" s="52">
        <v>-1082752</v>
      </c>
      <c r="D27" s="52"/>
      <c r="E27" s="52"/>
      <c r="F27" s="52"/>
      <c r="G27" s="52"/>
      <c r="H27" s="52"/>
      <c r="I27" s="52"/>
      <c r="J27" s="52"/>
      <c r="K27" s="52"/>
      <c r="L27" s="52"/>
      <c r="M27" s="52"/>
      <c r="N27" s="52"/>
      <c r="O27" s="52"/>
      <c r="P27" s="52"/>
      <c r="Q27" s="52"/>
      <c r="R27" s="52">
        <v>-10000</v>
      </c>
      <c r="S27" s="52"/>
      <c r="T27" s="52"/>
      <c r="U27" s="52">
        <v>-113227</v>
      </c>
      <c r="V27" s="52"/>
      <c r="W27" s="52"/>
      <c r="X27" s="52"/>
      <c r="Y27" s="52"/>
      <c r="Z27" s="52"/>
      <c r="AA27" s="52"/>
      <c r="AB27" s="52"/>
      <c r="AC27" s="52"/>
      <c r="AD27" s="52"/>
      <c r="AE27" s="52"/>
      <c r="AF27" s="52">
        <v>12663</v>
      </c>
      <c r="AG27" s="52"/>
      <c r="AH27" s="52"/>
      <c r="AI27" s="52"/>
      <c r="AJ27" s="52"/>
      <c r="AK27" s="54" t="s">
        <v>696</v>
      </c>
      <c r="AL27" s="52">
        <v>2058359</v>
      </c>
      <c r="AM27" s="52"/>
      <c r="AN27" s="52"/>
      <c r="AO27" s="52"/>
      <c r="AP27" s="52"/>
      <c r="AQ27" s="315"/>
      <c r="AR27" s="315"/>
      <c r="AS27" s="315"/>
      <c r="AT27" s="315"/>
      <c r="AU27" s="315"/>
      <c r="AV27" s="315"/>
    </row>
    <row r="28" spans="1:48" x14ac:dyDescent="0.2">
      <c r="A28" s="64"/>
      <c r="B28" s="52"/>
      <c r="C28" s="52"/>
      <c r="D28" s="52"/>
      <c r="E28" s="52"/>
      <c r="F28" s="52"/>
      <c r="G28" s="52"/>
      <c r="H28" s="52"/>
      <c r="I28" s="52"/>
      <c r="J28" s="52"/>
      <c r="K28" s="52"/>
      <c r="L28" s="52"/>
      <c r="M28" s="52"/>
      <c r="N28" s="52"/>
      <c r="O28" s="52"/>
      <c r="P28" s="52"/>
      <c r="Q28" s="52"/>
      <c r="R28" s="52">
        <v>349647</v>
      </c>
      <c r="S28" s="52"/>
      <c r="T28" s="52"/>
      <c r="U28" s="52">
        <v>-165916</v>
      </c>
      <c r="V28" s="52"/>
      <c r="W28" s="52"/>
      <c r="X28" s="52"/>
      <c r="Y28" s="52"/>
      <c r="Z28" s="52"/>
      <c r="AA28" s="52"/>
      <c r="AB28" s="52"/>
      <c r="AC28" s="52"/>
      <c r="AD28" s="52"/>
      <c r="AE28" s="52"/>
      <c r="AF28" s="52">
        <v>14215</v>
      </c>
      <c r="AG28" s="52"/>
      <c r="AH28" s="52"/>
      <c r="AI28" s="52"/>
      <c r="AJ28" s="52"/>
      <c r="AK28" s="54" t="s">
        <v>512</v>
      </c>
      <c r="AL28" s="52"/>
      <c r="AM28" s="52">
        <v>493439</v>
      </c>
      <c r="AN28" s="52"/>
      <c r="AO28" s="52"/>
      <c r="AP28" s="52"/>
      <c r="AQ28" s="315"/>
      <c r="AR28" s="315"/>
      <c r="AS28" s="315"/>
      <c r="AT28" s="315"/>
      <c r="AU28" s="315"/>
      <c r="AV28" s="315"/>
    </row>
    <row r="29" spans="1:48" x14ac:dyDescent="0.2">
      <c r="A29" s="64"/>
      <c r="B29" s="52"/>
      <c r="C29" s="52"/>
      <c r="D29" s="52"/>
      <c r="E29" s="52"/>
      <c r="F29" s="52"/>
      <c r="G29" s="52"/>
      <c r="H29" s="52"/>
      <c r="I29" s="52"/>
      <c r="J29" s="52"/>
      <c r="K29" s="52"/>
      <c r="L29" s="52"/>
      <c r="M29" s="52"/>
      <c r="N29" s="52"/>
      <c r="O29" s="52"/>
      <c r="P29" s="52"/>
      <c r="Q29" s="52"/>
      <c r="R29" s="52">
        <v>-715</v>
      </c>
      <c r="S29" s="52"/>
      <c r="T29" s="52"/>
      <c r="U29" s="52">
        <v>-163279</v>
      </c>
      <c r="V29" s="52"/>
      <c r="W29" s="52"/>
      <c r="X29" s="52"/>
      <c r="Y29" s="52"/>
      <c r="Z29" s="52"/>
      <c r="AA29" s="52"/>
      <c r="AB29" s="52"/>
      <c r="AC29" s="52"/>
      <c r="AD29" s="52"/>
      <c r="AE29" s="52"/>
      <c r="AF29" s="52">
        <f>-28726</f>
        <v>-28726</v>
      </c>
      <c r="AG29" s="52"/>
      <c r="AH29" s="52"/>
      <c r="AI29" s="52"/>
      <c r="AJ29" s="52"/>
      <c r="AK29" s="54"/>
      <c r="AL29" s="52"/>
      <c r="AM29" s="52">
        <v>1082752</v>
      </c>
      <c r="AN29" s="52"/>
      <c r="AO29" s="52"/>
      <c r="AP29" s="52"/>
      <c r="AQ29" s="315"/>
      <c r="AR29" s="315"/>
      <c r="AS29" s="315"/>
      <c r="AT29" s="315"/>
      <c r="AU29" s="315"/>
      <c r="AV29" s="315"/>
    </row>
    <row r="30" spans="1:48" x14ac:dyDescent="0.2">
      <c r="A30" s="64"/>
      <c r="B30" s="52"/>
      <c r="C30" s="52"/>
      <c r="D30" s="52"/>
      <c r="E30" s="52"/>
      <c r="F30" s="52"/>
      <c r="G30" s="52"/>
      <c r="H30" s="52"/>
      <c r="I30" s="52"/>
      <c r="J30" s="52"/>
      <c r="K30" s="52"/>
      <c r="L30" s="52"/>
      <c r="M30" s="52"/>
      <c r="N30" s="52"/>
      <c r="O30" s="52"/>
      <c r="P30" s="52"/>
      <c r="Q30" s="52"/>
      <c r="R30" s="52"/>
      <c r="S30" s="52"/>
      <c r="T30" s="52"/>
      <c r="U30" s="52">
        <v>-364238</v>
      </c>
      <c r="V30" s="52"/>
      <c r="W30" s="52"/>
      <c r="X30" s="52"/>
      <c r="Y30" s="52"/>
      <c r="Z30" s="52"/>
      <c r="AA30" s="52"/>
      <c r="AB30" s="52"/>
      <c r="AC30" s="52"/>
      <c r="AD30" s="52"/>
      <c r="AE30" s="52"/>
      <c r="AF30" s="109">
        <v>36554</v>
      </c>
      <c r="AG30" s="52"/>
      <c r="AH30" s="52"/>
      <c r="AI30" s="52"/>
      <c r="AJ30" s="52"/>
      <c r="AK30" s="54"/>
      <c r="AL30" s="52"/>
      <c r="AM30" s="52">
        <v>9869650</v>
      </c>
      <c r="AN30" s="52"/>
      <c r="AO30" s="52"/>
      <c r="AP30" s="52"/>
      <c r="AQ30" s="315"/>
      <c r="AR30" s="315"/>
      <c r="AS30" s="315"/>
      <c r="AT30" s="315"/>
      <c r="AU30" s="315"/>
      <c r="AV30" s="315"/>
    </row>
    <row r="31" spans="1:48" x14ac:dyDescent="0.2">
      <c r="A31" s="64"/>
      <c r="B31" s="52"/>
      <c r="C31" s="52"/>
      <c r="D31" s="52"/>
      <c r="E31" s="52"/>
      <c r="F31" s="52"/>
      <c r="G31" s="52"/>
      <c r="H31" s="52"/>
      <c r="I31" s="52"/>
      <c r="J31" s="52"/>
      <c r="K31" s="52"/>
      <c r="L31" s="52"/>
      <c r="M31" s="52"/>
      <c r="N31" s="52"/>
      <c r="O31" s="52"/>
      <c r="P31" s="52"/>
      <c r="Q31" s="52"/>
      <c r="R31" s="52"/>
      <c r="S31" s="52"/>
      <c r="T31" s="52"/>
      <c r="U31" s="52">
        <v>-236493</v>
      </c>
      <c r="V31" s="52"/>
      <c r="W31" s="52"/>
      <c r="X31" s="52"/>
      <c r="Y31" s="52"/>
      <c r="Z31" s="52"/>
      <c r="AA31" s="52"/>
      <c r="AB31" s="52"/>
      <c r="AC31" s="52"/>
      <c r="AD31" s="52"/>
      <c r="AE31" s="52"/>
      <c r="AF31" s="52"/>
      <c r="AG31" s="52"/>
      <c r="AH31" s="52"/>
      <c r="AI31" s="52"/>
      <c r="AJ31" s="52"/>
      <c r="AK31" s="54"/>
      <c r="AL31" s="52"/>
      <c r="AM31" s="52"/>
      <c r="AN31" s="52"/>
      <c r="AO31" s="52"/>
      <c r="AP31" s="52"/>
      <c r="AQ31" s="315"/>
      <c r="AR31" s="315"/>
      <c r="AS31" s="315"/>
      <c r="AT31" s="315"/>
      <c r="AU31" s="315"/>
      <c r="AV31" s="315"/>
    </row>
    <row r="32" spans="1:48" x14ac:dyDescent="0.2">
      <c r="A32" s="64"/>
      <c r="B32" s="52"/>
      <c r="C32" s="52"/>
      <c r="D32" s="52"/>
      <c r="E32" s="52"/>
      <c r="F32" s="52"/>
      <c r="G32" s="52"/>
      <c r="H32" s="52"/>
      <c r="I32" s="52"/>
      <c r="J32" s="52"/>
      <c r="K32" s="52"/>
      <c r="L32" s="52"/>
      <c r="M32" s="52"/>
      <c r="N32" s="52"/>
      <c r="O32" s="52"/>
      <c r="P32" s="52"/>
      <c r="Q32" s="52"/>
      <c r="R32" s="52"/>
      <c r="S32" s="52"/>
      <c r="T32" s="52"/>
      <c r="U32" s="52">
        <v>-900</v>
      </c>
      <c r="V32" s="52"/>
      <c r="W32" s="52"/>
      <c r="X32" s="52"/>
      <c r="Y32" s="52"/>
      <c r="Z32" s="52"/>
      <c r="AA32" s="52"/>
      <c r="AB32" s="52"/>
      <c r="AC32" s="52"/>
      <c r="AD32" s="52"/>
      <c r="AE32" s="52"/>
      <c r="AF32" s="52"/>
      <c r="AG32" s="52"/>
      <c r="AH32" s="52"/>
      <c r="AI32" s="52"/>
      <c r="AJ32" s="52"/>
      <c r="AK32" s="54"/>
      <c r="AL32" s="52"/>
      <c r="AM32" s="52"/>
      <c r="AN32" s="52"/>
      <c r="AO32" s="52"/>
      <c r="AP32" s="52"/>
      <c r="AQ32" s="315"/>
      <c r="AR32" s="315"/>
      <c r="AS32" s="315"/>
      <c r="AT32" s="315"/>
      <c r="AU32" s="315"/>
      <c r="AV32" s="315"/>
    </row>
    <row r="33" spans="1:48" x14ac:dyDescent="0.2">
      <c r="A33" s="64"/>
      <c r="B33" s="209"/>
      <c r="C33" s="209"/>
      <c r="D33" s="209"/>
      <c r="E33" s="209"/>
      <c r="F33" s="209"/>
      <c r="G33" s="209"/>
      <c r="H33" s="209"/>
      <c r="I33" s="209"/>
      <c r="J33" s="209"/>
      <c r="K33" s="209"/>
      <c r="L33" s="209"/>
      <c r="M33" s="209"/>
      <c r="N33" s="209"/>
      <c r="O33" s="209"/>
      <c r="P33" s="209"/>
      <c r="Q33" s="209">
        <v>0</v>
      </c>
      <c r="R33" s="209"/>
      <c r="S33" s="209"/>
      <c r="T33" s="209"/>
      <c r="U33" s="209"/>
      <c r="V33" s="209"/>
      <c r="W33" s="209"/>
      <c r="X33" s="209"/>
      <c r="Y33" s="209"/>
      <c r="Z33" s="209"/>
      <c r="AA33" s="209"/>
      <c r="AB33" s="209"/>
      <c r="AC33" s="209"/>
      <c r="AD33" s="209"/>
      <c r="AE33" s="209"/>
      <c r="AF33" s="209"/>
      <c r="AG33" s="209"/>
      <c r="AH33" s="209"/>
      <c r="AI33" s="209"/>
      <c r="AJ33" s="209">
        <f>SUM(B33:AI33)</f>
        <v>0</v>
      </c>
      <c r="AK33" s="93"/>
      <c r="AL33" s="209"/>
      <c r="AM33" s="209"/>
      <c r="AN33" s="209"/>
      <c r="AO33" s="209"/>
      <c r="AP33" s="209">
        <f>AJ33-AL33+AM33</f>
        <v>0</v>
      </c>
      <c r="AQ33" s="315"/>
      <c r="AR33" s="316"/>
      <c r="AS33" s="316"/>
      <c r="AT33" s="316"/>
      <c r="AU33" s="316"/>
      <c r="AV33" s="315"/>
    </row>
    <row r="34" spans="1:48" x14ac:dyDescent="0.2">
      <c r="A34" s="33" t="s">
        <v>106</v>
      </c>
      <c r="B34" s="52">
        <f>SUM(B16:B33)</f>
        <v>-1228874</v>
      </c>
      <c r="C34" s="52"/>
      <c r="D34" s="52">
        <f>SUM(D16:D33)</f>
        <v>-11156259</v>
      </c>
      <c r="E34" s="52">
        <f t="shared" ref="E34:AI34" si="0">SUM(E16:E33)</f>
        <v>9202940</v>
      </c>
      <c r="F34" s="52"/>
      <c r="G34" s="52">
        <f>SUM(G16:G33)</f>
        <v>9339673</v>
      </c>
      <c r="H34" s="52">
        <f t="shared" si="0"/>
        <v>89919</v>
      </c>
      <c r="I34" s="52"/>
      <c r="J34" s="52">
        <f t="shared" si="0"/>
        <v>0</v>
      </c>
      <c r="K34" s="52">
        <f t="shared" si="0"/>
        <v>43039</v>
      </c>
      <c r="L34" s="52"/>
      <c r="M34" s="52">
        <f t="shared" si="0"/>
        <v>0</v>
      </c>
      <c r="N34" s="52">
        <f t="shared" si="0"/>
        <v>-85853</v>
      </c>
      <c r="O34" s="52"/>
      <c r="P34" s="52">
        <f t="shared" si="0"/>
        <v>-85853</v>
      </c>
      <c r="Q34" s="52">
        <f t="shared" si="0"/>
        <v>-3203761</v>
      </c>
      <c r="R34" s="52"/>
      <c r="S34" s="52">
        <f t="shared" si="0"/>
        <v>-2788468</v>
      </c>
      <c r="T34" s="52">
        <f t="shared" si="0"/>
        <v>-2189283</v>
      </c>
      <c r="U34" s="52"/>
      <c r="V34" s="52">
        <f t="shared" si="0"/>
        <v>-2596707</v>
      </c>
      <c r="W34" s="52">
        <f t="shared" si="0"/>
        <v>-4335</v>
      </c>
      <c r="X34" s="52"/>
      <c r="Y34" s="52">
        <f t="shared" si="0"/>
        <v>-4435</v>
      </c>
      <c r="Z34" s="52">
        <f t="shared" si="0"/>
        <v>40079</v>
      </c>
      <c r="AA34" s="52"/>
      <c r="AB34" s="52">
        <f t="shared" si="0"/>
        <v>40079</v>
      </c>
      <c r="AC34" s="52">
        <f t="shared" si="0"/>
        <v>-6242</v>
      </c>
      <c r="AD34" s="52">
        <f t="shared" si="0"/>
        <v>-2937</v>
      </c>
      <c r="AE34" s="52">
        <f t="shared" si="0"/>
        <v>-1149071</v>
      </c>
      <c r="AF34" s="52"/>
      <c r="AG34" s="52">
        <f t="shared" si="0"/>
        <v>-1193122</v>
      </c>
      <c r="AH34" s="52">
        <f t="shared" si="0"/>
        <v>-2934</v>
      </c>
      <c r="AI34" s="52">
        <f t="shared" si="0"/>
        <v>-3017</v>
      </c>
      <c r="AJ34" s="52">
        <f>SUM(AJ16:AJ33)</f>
        <v>-8460222</v>
      </c>
      <c r="AK34" s="54"/>
      <c r="AL34" s="52"/>
      <c r="AM34" s="52"/>
      <c r="AN34" s="52">
        <f>SUM(AN16:AN33)</f>
        <v>0</v>
      </c>
      <c r="AO34" s="52">
        <f>SUM(AO16:AO33)</f>
        <v>0</v>
      </c>
      <c r="AP34" s="52">
        <f>SUM(AP16:AP33)</f>
        <v>-1743660</v>
      </c>
      <c r="AQ34" s="315"/>
      <c r="AR34" s="52">
        <f>SUM(AR16:AR33)</f>
        <v>-1743660</v>
      </c>
      <c r="AS34" s="315">
        <f>SUM(AS16:AS33)</f>
        <v>-1744</v>
      </c>
      <c r="AT34" s="315">
        <f>SUM(AT16:AT33)</f>
        <v>765</v>
      </c>
      <c r="AU34" s="315">
        <f>SUM(AU16:AU33)</f>
        <v>-2509</v>
      </c>
      <c r="AV34" s="315"/>
    </row>
    <row r="35" spans="1:48" x14ac:dyDescent="0.2">
      <c r="A35" s="33"/>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4"/>
      <c r="AL35" s="52"/>
      <c r="AM35" s="52"/>
      <c r="AN35" s="52"/>
      <c r="AO35" s="52"/>
      <c r="AP35" s="52"/>
      <c r="AQ35" s="315"/>
      <c r="AR35" s="315"/>
      <c r="AS35" s="315"/>
      <c r="AT35" s="315"/>
      <c r="AU35" s="315"/>
      <c r="AV35" s="315"/>
    </row>
    <row r="36" spans="1:48" x14ac:dyDescent="0.2">
      <c r="A36" s="64" t="s">
        <v>3</v>
      </c>
      <c r="B36" s="209">
        <f>-14128</f>
        <v>-14128</v>
      </c>
      <c r="C36" s="209">
        <v>-4257292</v>
      </c>
      <c r="D36" s="209">
        <f>SUM(B36:C36)</f>
        <v>-4271420</v>
      </c>
      <c r="E36" s="209">
        <f>-329091</f>
        <v>-329091</v>
      </c>
      <c r="F36" s="209">
        <v>0</v>
      </c>
      <c r="G36" s="209">
        <f>SUM(E36:F36)</f>
        <v>-329091</v>
      </c>
      <c r="H36" s="209">
        <v>0</v>
      </c>
      <c r="I36" s="209"/>
      <c r="J36" s="209">
        <f>SUM(H36:I36)</f>
        <v>0</v>
      </c>
      <c r="K36" s="209">
        <v>0</v>
      </c>
      <c r="L36" s="209"/>
      <c r="M36" s="209">
        <f>SUM(K36:L36)</f>
        <v>0</v>
      </c>
      <c r="N36" s="209">
        <v>0</v>
      </c>
      <c r="O36" s="209"/>
      <c r="P36" s="209">
        <f>SUM(N36:O36)</f>
        <v>0</v>
      </c>
      <c r="Q36" s="209">
        <f>-187683</f>
        <v>-187683</v>
      </c>
      <c r="R36" s="209">
        <v>715</v>
      </c>
      <c r="S36" s="209">
        <f>SUM(Q36:R36)</f>
        <v>-186968</v>
      </c>
      <c r="T36" s="209">
        <f>-1569176</f>
        <v>-1569176</v>
      </c>
      <c r="U36" s="209">
        <v>900</v>
      </c>
      <c r="V36" s="288">
        <f>SUM(T36:U36)</f>
        <v>-1568276</v>
      </c>
      <c r="W36" s="209">
        <v>0</v>
      </c>
      <c r="X36" s="209"/>
      <c r="Y36" s="209">
        <f>SUM(W36:X36)</f>
        <v>0</v>
      </c>
      <c r="Z36" s="209">
        <v>0</v>
      </c>
      <c r="AA36" s="209"/>
      <c r="AB36" s="209">
        <f>SUM(Z36:AA36)</f>
        <v>0</v>
      </c>
      <c r="AC36" s="209">
        <v>0</v>
      </c>
      <c r="AD36" s="209"/>
      <c r="AE36" s="209">
        <v>0</v>
      </c>
      <c r="AF36" s="209"/>
      <c r="AG36" s="209">
        <f>SUM(AE36:AF36)</f>
        <v>0</v>
      </c>
      <c r="AH36" s="209">
        <v>0</v>
      </c>
      <c r="AI36" s="209">
        <v>0</v>
      </c>
      <c r="AJ36" s="209">
        <f>D36+G36+J36+M36+P36+S36+V36+Y36+AB36+AC36+AD36+AG36+AH36+AI36</f>
        <v>-6355755</v>
      </c>
      <c r="AK36" s="54"/>
      <c r="AL36" s="52">
        <v>0</v>
      </c>
      <c r="AM36" s="52">
        <v>4257292</v>
      </c>
      <c r="AN36" s="209">
        <v>0</v>
      </c>
      <c r="AO36" s="209"/>
      <c r="AP36" s="209">
        <f>AJ36-AL36+AM36</f>
        <v>-2098463</v>
      </c>
      <c r="AQ36" s="315"/>
      <c r="AR36" s="316">
        <f>AP36+AQ36</f>
        <v>-2098463</v>
      </c>
      <c r="AS36" s="316">
        <v>-2098</v>
      </c>
      <c r="AT36" s="316">
        <v>-1612</v>
      </c>
      <c r="AU36" s="316">
        <f>AS36-AT36</f>
        <v>-486</v>
      </c>
      <c r="AV36" s="315"/>
    </row>
    <row r="37" spans="1:48" x14ac:dyDescent="0.2">
      <c r="A37" s="38" t="s">
        <v>66</v>
      </c>
      <c r="B37" s="52">
        <f t="shared" ref="B37:AO37" si="1">SUM(B34:B36)</f>
        <v>-1243002</v>
      </c>
      <c r="C37" s="52"/>
      <c r="D37" s="52">
        <f>SUM(D34:D36)</f>
        <v>-15427679</v>
      </c>
      <c r="E37" s="52">
        <f t="shared" si="1"/>
        <v>8873849</v>
      </c>
      <c r="F37" s="52"/>
      <c r="G37" s="52">
        <f>SUM(G34:G36)</f>
        <v>9010582</v>
      </c>
      <c r="H37" s="52">
        <f t="shared" si="1"/>
        <v>89919</v>
      </c>
      <c r="I37" s="52"/>
      <c r="J37" s="52">
        <f t="shared" si="1"/>
        <v>0</v>
      </c>
      <c r="K37" s="52">
        <f t="shared" si="1"/>
        <v>43039</v>
      </c>
      <c r="L37" s="52"/>
      <c r="M37" s="52">
        <f t="shared" si="1"/>
        <v>0</v>
      </c>
      <c r="N37" s="52">
        <f t="shared" si="1"/>
        <v>-85853</v>
      </c>
      <c r="O37" s="52"/>
      <c r="P37" s="52">
        <f t="shared" si="1"/>
        <v>-85853</v>
      </c>
      <c r="Q37" s="52">
        <f t="shared" si="1"/>
        <v>-3391444</v>
      </c>
      <c r="R37" s="52"/>
      <c r="S37" s="52">
        <f t="shared" si="1"/>
        <v>-2975436</v>
      </c>
      <c r="T37" s="52">
        <f t="shared" si="1"/>
        <v>-3758459</v>
      </c>
      <c r="U37" s="52"/>
      <c r="V37" s="52">
        <f t="shared" si="1"/>
        <v>-4164983</v>
      </c>
      <c r="W37" s="52">
        <f t="shared" si="1"/>
        <v>-4335</v>
      </c>
      <c r="X37" s="52"/>
      <c r="Y37" s="52">
        <f t="shared" si="1"/>
        <v>-4435</v>
      </c>
      <c r="Z37" s="52">
        <f t="shared" si="1"/>
        <v>40079</v>
      </c>
      <c r="AA37" s="52"/>
      <c r="AB37" s="52">
        <f t="shared" si="1"/>
        <v>40079</v>
      </c>
      <c r="AC37" s="52">
        <f t="shared" si="1"/>
        <v>-6242</v>
      </c>
      <c r="AD37" s="52">
        <f t="shared" si="1"/>
        <v>-2937</v>
      </c>
      <c r="AE37" s="52">
        <f t="shared" si="1"/>
        <v>-1149071</v>
      </c>
      <c r="AF37" s="52"/>
      <c r="AG37" s="52">
        <f t="shared" si="1"/>
        <v>-1193122</v>
      </c>
      <c r="AH37" s="52">
        <f t="shared" si="1"/>
        <v>-2934</v>
      </c>
      <c r="AI37" s="52">
        <f t="shared" si="1"/>
        <v>-3017</v>
      </c>
      <c r="AJ37" s="52">
        <f t="shared" si="1"/>
        <v>-14815977</v>
      </c>
      <c r="AK37" s="54"/>
      <c r="AL37" s="52"/>
      <c r="AM37" s="52"/>
      <c r="AN37" s="52">
        <f t="shared" si="1"/>
        <v>0</v>
      </c>
      <c r="AO37" s="52">
        <f t="shared" si="1"/>
        <v>0</v>
      </c>
      <c r="AP37" s="52">
        <f>SUM(AP34:AP36)</f>
        <v>-3842123</v>
      </c>
      <c r="AQ37" s="315"/>
      <c r="AR37" s="52">
        <f>SUM(AR34:AR36)</f>
        <v>-3842123</v>
      </c>
      <c r="AS37" s="315">
        <f>SUM(AS34:AS36)</f>
        <v>-3842</v>
      </c>
      <c r="AT37" s="315">
        <f>SUM(AT34:AT36)</f>
        <v>-847</v>
      </c>
      <c r="AU37" s="315">
        <f>SUM(AU34:AU36)</f>
        <v>-2995</v>
      </c>
      <c r="AV37" s="315"/>
    </row>
    <row r="38" spans="1:48" x14ac:dyDescent="0.2">
      <c r="A38" s="33"/>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4"/>
      <c r="AL38" s="52"/>
      <c r="AM38" s="52"/>
      <c r="AN38" s="52"/>
      <c r="AO38" s="52"/>
      <c r="AP38" s="52"/>
      <c r="AQ38" s="315"/>
      <c r="AR38" s="315"/>
      <c r="AS38" s="315"/>
      <c r="AT38" s="315"/>
      <c r="AU38" s="315"/>
      <c r="AV38" s="315"/>
    </row>
    <row r="39" spans="1:48" x14ac:dyDescent="0.2">
      <c r="A39" s="55" t="s">
        <v>107</v>
      </c>
      <c r="B39" s="52">
        <v>0</v>
      </c>
      <c r="C39" s="52">
        <v>809</v>
      </c>
      <c r="D39" s="52">
        <f>SUM(B39:C39)</f>
        <v>809</v>
      </c>
      <c r="E39" s="52">
        <v>-1252260</v>
      </c>
      <c r="F39" s="52">
        <v>-37615</v>
      </c>
      <c r="G39" s="52">
        <f>SUM(E39:F39)</f>
        <v>-1289875</v>
      </c>
      <c r="H39" s="52">
        <v>0</v>
      </c>
      <c r="I39" s="52"/>
      <c r="J39" s="52">
        <f>SUM(H39:I39)</f>
        <v>0</v>
      </c>
      <c r="K39" s="52">
        <v>0</v>
      </c>
      <c r="L39" s="52"/>
      <c r="M39" s="52">
        <f>SUM(K39:L39)</f>
        <v>0</v>
      </c>
      <c r="N39" s="52">
        <f>-20690-20468</f>
        <v>-41158</v>
      </c>
      <c r="O39" s="52">
        <v>-1686</v>
      </c>
      <c r="P39" s="52">
        <f>SUM(N39:O39)</f>
        <v>-42844</v>
      </c>
      <c r="Q39" s="52">
        <v>-272493</v>
      </c>
      <c r="R39" s="52">
        <v>247701</v>
      </c>
      <c r="S39" s="52">
        <f>SUM(Q39:R39)</f>
        <v>-24792</v>
      </c>
      <c r="T39" s="52">
        <v>0</v>
      </c>
      <c r="U39" s="52"/>
      <c r="V39" s="52">
        <f>SUM(T39:U39)</f>
        <v>0</v>
      </c>
      <c r="W39" s="52">
        <v>0</v>
      </c>
      <c r="X39" s="52">
        <v>-6</v>
      </c>
      <c r="Y39" s="52">
        <f>SUM(W39:X39)</f>
        <v>-6</v>
      </c>
      <c r="Z39" s="52">
        <v>0</v>
      </c>
      <c r="AA39" s="52">
        <v>-12681</v>
      </c>
      <c r="AB39" s="52">
        <f>SUM(Z39:AA39)</f>
        <v>-12681</v>
      </c>
      <c r="AC39" s="52">
        <v>0</v>
      </c>
      <c r="AD39" s="52">
        <v>0</v>
      </c>
      <c r="AE39" s="52">
        <v>0</v>
      </c>
      <c r="AF39" s="52"/>
      <c r="AG39" s="52">
        <f>SUM(AE39:AF39)</f>
        <v>0</v>
      </c>
      <c r="AH39" s="52">
        <v>0</v>
      </c>
      <c r="AI39" s="52">
        <v>0</v>
      </c>
      <c r="AJ39" s="52">
        <f>D39+G39+J39+M39+P39+S39+V39+Y39+AB39+AC39+AD39+AG39+AH39+AI39</f>
        <v>-1369389</v>
      </c>
      <c r="AK39" s="54"/>
      <c r="AL39" s="52">
        <v>0</v>
      </c>
      <c r="AM39" s="52">
        <v>0</v>
      </c>
      <c r="AN39" s="52">
        <v>0</v>
      </c>
      <c r="AO39" s="52"/>
      <c r="AP39" s="52">
        <f>AJ39-AL39+AM39</f>
        <v>-1369389</v>
      </c>
      <c r="AQ39" s="315"/>
      <c r="AR39" s="315">
        <f>AP39+AQ39</f>
        <v>-1369389</v>
      </c>
      <c r="AS39" s="315">
        <v>-1369</v>
      </c>
      <c r="AT39" s="315">
        <v>-21</v>
      </c>
      <c r="AU39" s="315">
        <f>AS39-AT39</f>
        <v>-1348</v>
      </c>
      <c r="AV39" s="315"/>
    </row>
    <row r="40" spans="1:48" x14ac:dyDescent="0.2">
      <c r="A40" s="55"/>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4"/>
      <c r="AL40" s="52"/>
      <c r="AM40" s="52"/>
      <c r="AN40" s="52"/>
      <c r="AO40" s="52"/>
      <c r="AP40" s="52"/>
      <c r="AQ40" s="315"/>
      <c r="AR40" s="315"/>
      <c r="AS40" s="315"/>
      <c r="AT40" s="315"/>
      <c r="AU40" s="315"/>
      <c r="AV40" s="315"/>
    </row>
    <row r="41" spans="1:48" x14ac:dyDescent="0.2">
      <c r="A41" s="55"/>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93"/>
      <c r="AL41" s="209"/>
      <c r="AM41" s="209"/>
      <c r="AN41" s="209"/>
      <c r="AO41" s="209"/>
      <c r="AP41" s="209"/>
      <c r="AQ41" s="315"/>
      <c r="AR41" s="316"/>
      <c r="AS41" s="316"/>
      <c r="AT41" s="316"/>
      <c r="AU41" s="316"/>
      <c r="AV41" s="315"/>
    </row>
    <row r="42" spans="1:48" x14ac:dyDescent="0.2">
      <c r="A42" s="33" t="s">
        <v>67</v>
      </c>
      <c r="B42" s="52">
        <f t="shared" ref="B42:AO42" si="2">SUM(B37:B39)</f>
        <v>-1243002</v>
      </c>
      <c r="C42" s="52"/>
      <c r="D42" s="52">
        <f>SUM(D37:D39)</f>
        <v>-15426870</v>
      </c>
      <c r="E42" s="52">
        <f t="shared" si="2"/>
        <v>7621589</v>
      </c>
      <c r="F42" s="52"/>
      <c r="G42" s="52">
        <f t="shared" si="2"/>
        <v>7720707</v>
      </c>
      <c r="H42" s="52">
        <f t="shared" si="2"/>
        <v>89919</v>
      </c>
      <c r="I42" s="52"/>
      <c r="J42" s="52">
        <f t="shared" si="2"/>
        <v>0</v>
      </c>
      <c r="K42" s="52">
        <f t="shared" si="2"/>
        <v>43039</v>
      </c>
      <c r="L42" s="52"/>
      <c r="M42" s="52">
        <f t="shared" si="2"/>
        <v>0</v>
      </c>
      <c r="N42" s="52">
        <f t="shared" si="2"/>
        <v>-127011</v>
      </c>
      <c r="O42" s="52"/>
      <c r="P42" s="52">
        <f t="shared" si="2"/>
        <v>-128697</v>
      </c>
      <c r="Q42" s="52">
        <f t="shared" si="2"/>
        <v>-3663937</v>
      </c>
      <c r="R42" s="52"/>
      <c r="S42" s="52">
        <f t="shared" si="2"/>
        <v>-3000228</v>
      </c>
      <c r="T42" s="52">
        <f t="shared" si="2"/>
        <v>-3758459</v>
      </c>
      <c r="U42" s="52"/>
      <c r="V42" s="52">
        <f t="shared" si="2"/>
        <v>-4164983</v>
      </c>
      <c r="W42" s="52">
        <f t="shared" si="2"/>
        <v>-4335</v>
      </c>
      <c r="X42" s="52"/>
      <c r="Y42" s="52">
        <f t="shared" si="2"/>
        <v>-4441</v>
      </c>
      <c r="Z42" s="52">
        <f t="shared" si="2"/>
        <v>40079</v>
      </c>
      <c r="AA42" s="52"/>
      <c r="AB42" s="52">
        <f t="shared" si="2"/>
        <v>27398</v>
      </c>
      <c r="AC42" s="52">
        <f t="shared" si="2"/>
        <v>-6242</v>
      </c>
      <c r="AD42" s="52">
        <f t="shared" si="2"/>
        <v>-2937</v>
      </c>
      <c r="AE42" s="52">
        <f t="shared" si="2"/>
        <v>-1149071</v>
      </c>
      <c r="AF42" s="52"/>
      <c r="AG42" s="52">
        <f t="shared" si="2"/>
        <v>-1193122</v>
      </c>
      <c r="AH42" s="52">
        <f t="shared" si="2"/>
        <v>-2934</v>
      </c>
      <c r="AI42" s="52">
        <f t="shared" si="2"/>
        <v>-3017</v>
      </c>
      <c r="AJ42" s="52">
        <f t="shared" si="2"/>
        <v>-16185366</v>
      </c>
      <c r="AK42" s="54"/>
      <c r="AL42" s="52"/>
      <c r="AM42" s="52"/>
      <c r="AN42" s="52">
        <f t="shared" si="2"/>
        <v>0</v>
      </c>
      <c r="AO42" s="52">
        <f t="shared" si="2"/>
        <v>0</v>
      </c>
      <c r="AP42" s="52">
        <f>SUM(AP37:AP39)</f>
        <v>-5211512</v>
      </c>
      <c r="AQ42" s="315"/>
      <c r="AR42" s="52">
        <f>SUM(AR37:AR39)</f>
        <v>-5211512</v>
      </c>
      <c r="AS42" s="315">
        <f>SUM(AS37:AS41)</f>
        <v>-5211</v>
      </c>
      <c r="AT42" s="315">
        <f>SUM(AT37:AT41)</f>
        <v>-868</v>
      </c>
      <c r="AU42" s="315">
        <f>SUM(AU37:AU41)</f>
        <v>-4343</v>
      </c>
      <c r="AV42" s="315"/>
    </row>
    <row r="43" spans="1:48" x14ac:dyDescent="0.2">
      <c r="A43" s="55"/>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4"/>
      <c r="AL43" s="52"/>
      <c r="AM43" s="52"/>
      <c r="AN43" s="52"/>
      <c r="AO43" s="52"/>
      <c r="AP43" s="52"/>
      <c r="AQ43" s="315"/>
      <c r="AR43" s="315"/>
      <c r="AS43" s="315"/>
      <c r="AT43" s="315"/>
      <c r="AU43" s="315"/>
      <c r="AV43" s="315"/>
    </row>
    <row r="44" spans="1:48" x14ac:dyDescent="0.2">
      <c r="A44" s="38" t="s">
        <v>49</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4"/>
      <c r="AL44" s="52"/>
      <c r="AM44" s="52"/>
      <c r="AN44" s="52"/>
      <c r="AO44" s="52"/>
      <c r="AP44" s="52"/>
      <c r="AQ44" s="315"/>
      <c r="AR44" s="315"/>
      <c r="AS44" s="315"/>
      <c r="AT44" s="315"/>
      <c r="AU44" s="315"/>
      <c r="AV44" s="315"/>
    </row>
    <row r="45" spans="1:48" x14ac:dyDescent="0.2">
      <c r="A45" s="55" t="s">
        <v>50</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4"/>
      <c r="AL45" s="52"/>
      <c r="AM45" s="52"/>
      <c r="AN45" s="52"/>
      <c r="AO45" s="52"/>
      <c r="AP45" s="52"/>
      <c r="AQ45" s="315"/>
      <c r="AR45" s="315"/>
      <c r="AS45" s="315"/>
      <c r="AT45" s="315"/>
      <c r="AU45" s="315"/>
      <c r="AV45" s="315"/>
    </row>
    <row r="46" spans="1:48" x14ac:dyDescent="0.2">
      <c r="A46" s="55" t="s">
        <v>51</v>
      </c>
      <c r="B46" s="52">
        <v>0</v>
      </c>
      <c r="C46" s="52"/>
      <c r="D46" s="52"/>
      <c r="E46" s="52">
        <v>0</v>
      </c>
      <c r="F46" s="52"/>
      <c r="G46" s="52"/>
      <c r="H46" s="52">
        <v>0</v>
      </c>
      <c r="I46" s="52"/>
      <c r="J46" s="52"/>
      <c r="K46" s="52">
        <v>0</v>
      </c>
      <c r="L46" s="52"/>
      <c r="M46" s="52"/>
      <c r="N46" s="52">
        <v>0</v>
      </c>
      <c r="O46" s="52"/>
      <c r="P46" s="52"/>
      <c r="Q46" s="52">
        <v>0</v>
      </c>
      <c r="R46" s="52"/>
      <c r="S46" s="52"/>
      <c r="T46" s="52">
        <v>0</v>
      </c>
      <c r="U46" s="52"/>
      <c r="V46" s="52"/>
      <c r="W46" s="52">
        <v>0</v>
      </c>
      <c r="X46" s="52"/>
      <c r="Y46" s="52"/>
      <c r="Z46" s="52">
        <v>0</v>
      </c>
      <c r="AA46" s="52"/>
      <c r="AB46" s="52"/>
      <c r="AC46" s="52">
        <v>0</v>
      </c>
      <c r="AD46" s="52">
        <v>0</v>
      </c>
      <c r="AE46" s="52">
        <v>0</v>
      </c>
      <c r="AF46" s="52"/>
      <c r="AG46" s="52"/>
      <c r="AH46" s="52">
        <v>0</v>
      </c>
      <c r="AI46" s="52">
        <v>0</v>
      </c>
      <c r="AJ46" s="52">
        <f>SUM(B46:AI46)</f>
        <v>0</v>
      </c>
      <c r="AK46" s="54"/>
      <c r="AL46" s="52"/>
      <c r="AM46" s="52"/>
      <c r="AN46" s="52">
        <v>0</v>
      </c>
      <c r="AO46" s="52"/>
      <c r="AP46" s="52">
        <f>SUM(B46:AO46)</f>
        <v>0</v>
      </c>
      <c r="AQ46" s="315"/>
      <c r="AR46" s="315"/>
      <c r="AS46" s="315"/>
      <c r="AT46" s="315"/>
      <c r="AU46" s="315"/>
      <c r="AV46" s="315"/>
    </row>
    <row r="47" spans="1:48" x14ac:dyDescent="0.2">
      <c r="A47" s="55"/>
      <c r="B47" s="230">
        <f t="shared" ref="B47:AB47" si="3">SUM(B46)</f>
        <v>0</v>
      </c>
      <c r="C47" s="230"/>
      <c r="D47" s="230">
        <f t="shared" si="3"/>
        <v>0</v>
      </c>
      <c r="E47" s="230">
        <f t="shared" si="3"/>
        <v>0</v>
      </c>
      <c r="F47" s="230"/>
      <c r="G47" s="230">
        <f t="shared" si="3"/>
        <v>0</v>
      </c>
      <c r="H47" s="230">
        <f t="shared" si="3"/>
        <v>0</v>
      </c>
      <c r="I47" s="230"/>
      <c r="J47" s="230">
        <f t="shared" si="3"/>
        <v>0</v>
      </c>
      <c r="K47" s="230">
        <f t="shared" si="3"/>
        <v>0</v>
      </c>
      <c r="L47" s="230"/>
      <c r="M47" s="230">
        <f t="shared" si="3"/>
        <v>0</v>
      </c>
      <c r="N47" s="230">
        <f t="shared" si="3"/>
        <v>0</v>
      </c>
      <c r="O47" s="230"/>
      <c r="P47" s="230">
        <f t="shared" si="3"/>
        <v>0</v>
      </c>
      <c r="Q47" s="230">
        <f t="shared" si="3"/>
        <v>0</v>
      </c>
      <c r="R47" s="230"/>
      <c r="S47" s="230">
        <f t="shared" si="3"/>
        <v>0</v>
      </c>
      <c r="T47" s="230">
        <f t="shared" si="3"/>
        <v>0</v>
      </c>
      <c r="U47" s="230"/>
      <c r="V47" s="230">
        <f t="shared" si="3"/>
        <v>0</v>
      </c>
      <c r="W47" s="230">
        <f t="shared" si="3"/>
        <v>0</v>
      </c>
      <c r="X47" s="230"/>
      <c r="Y47" s="230">
        <f t="shared" si="3"/>
        <v>0</v>
      </c>
      <c r="Z47" s="230">
        <f t="shared" si="3"/>
        <v>0</v>
      </c>
      <c r="AA47" s="230"/>
      <c r="AB47" s="230">
        <f t="shared" si="3"/>
        <v>0</v>
      </c>
      <c r="AC47" s="230">
        <f t="shared" ref="AC47:AO47" si="4">SUM(AC46)</f>
        <v>0</v>
      </c>
      <c r="AD47" s="230">
        <f t="shared" si="4"/>
        <v>0</v>
      </c>
      <c r="AE47" s="230">
        <f t="shared" si="4"/>
        <v>0</v>
      </c>
      <c r="AF47" s="230"/>
      <c r="AG47" s="230">
        <f t="shared" si="4"/>
        <v>0</v>
      </c>
      <c r="AH47" s="230">
        <f t="shared" si="4"/>
        <v>0</v>
      </c>
      <c r="AI47" s="230">
        <f>SUM(AI46)</f>
        <v>0</v>
      </c>
      <c r="AJ47" s="230">
        <f t="shared" si="4"/>
        <v>0</v>
      </c>
      <c r="AK47" s="54"/>
      <c r="AL47" s="52"/>
      <c r="AM47" s="52"/>
      <c r="AN47" s="230">
        <f t="shared" si="4"/>
        <v>0</v>
      </c>
      <c r="AO47" s="230">
        <f t="shared" si="4"/>
        <v>0</v>
      </c>
      <c r="AP47" s="230">
        <f>SUM(AP46)</f>
        <v>0</v>
      </c>
      <c r="AQ47" s="315"/>
      <c r="AR47" s="315"/>
      <c r="AS47" s="315"/>
      <c r="AT47" s="315"/>
      <c r="AU47" s="315"/>
      <c r="AV47" s="315"/>
    </row>
    <row r="48" spans="1:48" ht="13.5" thickBot="1" x14ac:dyDescent="0.25">
      <c r="A48" s="38" t="s">
        <v>67</v>
      </c>
      <c r="B48" s="184">
        <f>B42+B47</f>
        <v>-1243002</v>
      </c>
      <c r="C48" s="184"/>
      <c r="D48" s="184">
        <f>D42+D47</f>
        <v>-15426870</v>
      </c>
      <c r="E48" s="184">
        <f t="shared" ref="E48:AO48" si="5">E42+E47</f>
        <v>7621589</v>
      </c>
      <c r="F48" s="184"/>
      <c r="G48" s="184">
        <f t="shared" si="5"/>
        <v>7720707</v>
      </c>
      <c r="H48" s="184">
        <f t="shared" si="5"/>
        <v>89919</v>
      </c>
      <c r="I48" s="184"/>
      <c r="J48" s="184">
        <f t="shared" si="5"/>
        <v>0</v>
      </c>
      <c r="K48" s="184">
        <f t="shared" si="5"/>
        <v>43039</v>
      </c>
      <c r="L48" s="184"/>
      <c r="M48" s="184">
        <f t="shared" si="5"/>
        <v>0</v>
      </c>
      <c r="N48" s="184">
        <f t="shared" si="5"/>
        <v>-127011</v>
      </c>
      <c r="O48" s="184"/>
      <c r="P48" s="184">
        <f t="shared" si="5"/>
        <v>-128697</v>
      </c>
      <c r="Q48" s="184">
        <f t="shared" si="5"/>
        <v>-3663937</v>
      </c>
      <c r="R48" s="184"/>
      <c r="S48" s="184">
        <f t="shared" si="5"/>
        <v>-3000228</v>
      </c>
      <c r="T48" s="184">
        <f t="shared" si="5"/>
        <v>-3758459</v>
      </c>
      <c r="U48" s="184"/>
      <c r="V48" s="184">
        <f t="shared" si="5"/>
        <v>-4164983</v>
      </c>
      <c r="W48" s="184">
        <f t="shared" si="5"/>
        <v>-4335</v>
      </c>
      <c r="X48" s="184"/>
      <c r="Y48" s="184">
        <f t="shared" si="5"/>
        <v>-4441</v>
      </c>
      <c r="Z48" s="184">
        <f t="shared" si="5"/>
        <v>40079</v>
      </c>
      <c r="AA48" s="184"/>
      <c r="AB48" s="184">
        <f t="shared" si="5"/>
        <v>27398</v>
      </c>
      <c r="AC48" s="184">
        <f t="shared" si="5"/>
        <v>-6242</v>
      </c>
      <c r="AD48" s="184">
        <f t="shared" si="5"/>
        <v>-2937</v>
      </c>
      <c r="AE48" s="184">
        <f t="shared" si="5"/>
        <v>-1149071</v>
      </c>
      <c r="AF48" s="184"/>
      <c r="AG48" s="184">
        <f t="shared" si="5"/>
        <v>-1193122</v>
      </c>
      <c r="AH48" s="184">
        <f t="shared" si="5"/>
        <v>-2934</v>
      </c>
      <c r="AI48" s="184">
        <f>AI42+AI47</f>
        <v>-3017</v>
      </c>
      <c r="AJ48" s="184">
        <f t="shared" si="5"/>
        <v>-16185366</v>
      </c>
      <c r="AK48" s="54"/>
      <c r="AL48" s="52">
        <f>SUM(AL7:AL47)</f>
        <v>7969279</v>
      </c>
      <c r="AM48" s="52">
        <f>SUM(AM7:AM47)</f>
        <v>18943133</v>
      </c>
      <c r="AN48" s="184">
        <f t="shared" si="5"/>
        <v>0</v>
      </c>
      <c r="AO48" s="184">
        <f t="shared" si="5"/>
        <v>0</v>
      </c>
      <c r="AP48" s="184">
        <f>AP42+AP47</f>
        <v>-5211512</v>
      </c>
      <c r="AQ48" s="315"/>
      <c r="AR48" s="315"/>
      <c r="AS48" s="315">
        <f>SUM(AS42:AS47)</f>
        <v>-5211</v>
      </c>
      <c r="AT48" s="315"/>
      <c r="AU48" s="315"/>
      <c r="AV48" s="315"/>
    </row>
    <row r="49" spans="1:48" ht="13.5" thickTop="1" x14ac:dyDescent="0.2">
      <c r="A49" s="55" t="s">
        <v>52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4"/>
      <c r="AL49" s="52">
        <f>AM48-AL48</f>
        <v>10973854</v>
      </c>
      <c r="AM49" s="52"/>
      <c r="AN49" s="52"/>
      <c r="AO49" s="52"/>
      <c r="AP49" s="52"/>
      <c r="AS49" s="315"/>
      <c r="AT49" s="315"/>
      <c r="AU49" s="315"/>
      <c r="AV49" s="315"/>
    </row>
    <row r="50" spans="1:48" x14ac:dyDescent="0.2">
      <c r="A50" s="55" t="s">
        <v>53</v>
      </c>
      <c r="B50" s="52"/>
      <c r="C50" s="52"/>
      <c r="D50" s="52"/>
      <c r="E50" s="52">
        <f>E48*0.3</f>
        <v>2286476.6999999997</v>
      </c>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4"/>
      <c r="AL50" s="52"/>
      <c r="AM50" s="52"/>
      <c r="AN50" s="52"/>
      <c r="AO50" s="52"/>
      <c r="AP50" s="52">
        <f>AP48-AP51</f>
        <v>-7497989</v>
      </c>
      <c r="AS50" s="315"/>
      <c r="AT50" s="315"/>
      <c r="AU50" s="315"/>
      <c r="AV50" s="315"/>
    </row>
    <row r="51" spans="1:48" x14ac:dyDescent="0.2">
      <c r="A51" s="55" t="s">
        <v>54</v>
      </c>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4"/>
      <c r="AL51" s="52"/>
      <c r="AM51" s="52"/>
      <c r="AN51" s="52"/>
      <c r="AO51" s="52"/>
      <c r="AP51" s="52">
        <v>2286477</v>
      </c>
      <c r="AS51" s="315"/>
      <c r="AT51" s="315"/>
      <c r="AU51" s="315"/>
      <c r="AV51" s="315"/>
    </row>
    <row r="52" spans="1:48" ht="13.5" thickBot="1" x14ac:dyDescent="0.25">
      <c r="A52" s="55"/>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4"/>
      <c r="AL52" s="52"/>
      <c r="AM52" s="52"/>
      <c r="AN52" s="52"/>
      <c r="AO52" s="52"/>
      <c r="AP52" s="184">
        <f>SUM(AP50:AP51)</f>
        <v>-5211512</v>
      </c>
      <c r="AS52" s="315"/>
      <c r="AT52" s="315"/>
      <c r="AU52" s="315"/>
      <c r="AV52" s="315"/>
    </row>
    <row r="53" spans="1:48" ht="13.5" thickTop="1" x14ac:dyDescent="0.2">
      <c r="AS53" s="315"/>
      <c r="AT53" s="315"/>
      <c r="AU53" s="315"/>
      <c r="AV53" s="315"/>
    </row>
  </sheetData>
  <mergeCells count="3">
    <mergeCell ref="A1:AP1"/>
    <mergeCell ref="A2:AP2"/>
    <mergeCell ref="AL4:AM4"/>
  </mergeCells>
  <pageMargins left="0.9" right="0.56999999999999995" top="0.74803149606299213" bottom="0.55118110236220474" header="0.31496062992125984" footer="0.31496062992125984"/>
  <pageSetup paperSize="8"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70"/>
  <sheetViews>
    <sheetView workbookViewId="0">
      <selection sqref="A1:AP1"/>
    </sheetView>
  </sheetViews>
  <sheetFormatPr defaultRowHeight="12.75" x14ac:dyDescent="0.2"/>
  <cols>
    <col min="1" max="1" width="24.140625" style="154" bestFit="1" customWidth="1"/>
    <col min="2" max="2" width="14.7109375" style="154" bestFit="1" customWidth="1"/>
    <col min="3" max="3" width="10.85546875" style="154" bestFit="1" customWidth="1"/>
    <col min="4" max="4" width="11.85546875" style="154" bestFit="1" customWidth="1"/>
    <col min="5" max="5" width="9.28515625" style="154" customWidth="1"/>
    <col min="6" max="6" width="8.28515625" style="154" bestFit="1" customWidth="1"/>
    <col min="7" max="7" width="12.42578125" style="154" bestFit="1" customWidth="1"/>
    <col min="8" max="8" width="10.5703125" style="154" bestFit="1" customWidth="1"/>
    <col min="9" max="12" width="10.5703125" style="154" customWidth="1"/>
    <col min="13" max="13" width="8.85546875" style="154" bestFit="1" customWidth="1"/>
    <col min="14" max="14" width="10.28515625" style="154" bestFit="1" customWidth="1"/>
    <col min="15" max="15" width="10.5703125" style="154" customWidth="1"/>
    <col min="16" max="16" width="10" style="154" bestFit="1" customWidth="1"/>
    <col min="17" max="17" width="11.85546875" style="154" bestFit="1" customWidth="1"/>
    <col min="18" max="18" width="9.28515625" style="154" bestFit="1" customWidth="1"/>
    <col min="19" max="19" width="9.5703125" style="154" bestFit="1" customWidth="1"/>
    <col min="20" max="20" width="10.7109375" style="154" bestFit="1" customWidth="1"/>
    <col min="21" max="21" width="10.85546875" style="154" bestFit="1" customWidth="1"/>
    <col min="22" max="22" width="9.140625" style="154"/>
    <col min="23" max="24" width="12.85546875" style="154" bestFit="1" customWidth="1"/>
    <col min="25" max="25" width="11.85546875" style="154" bestFit="1" customWidth="1"/>
    <col min="26" max="26" width="9.140625" style="154"/>
    <col min="27" max="27" width="12" style="154" bestFit="1" customWidth="1"/>
    <col min="28" max="28" width="12.28515625" style="154" bestFit="1" customWidth="1"/>
    <col min="29" max="29" width="11.28515625" style="154" bestFit="1" customWidth="1"/>
    <col min="30" max="30" width="12.28515625" style="154" bestFit="1" customWidth="1"/>
    <col min="31" max="31" width="9.140625" style="154"/>
    <col min="32" max="32" width="12.85546875" style="154" bestFit="1" customWidth="1"/>
    <col min="33" max="33" width="9.28515625" style="154" bestFit="1" customWidth="1"/>
    <col min="34" max="16384" width="9.140625" style="154"/>
  </cols>
  <sheetData>
    <row r="2" spans="1:33" s="272" customFormat="1" x14ac:dyDescent="0.2">
      <c r="D2" s="197" t="s">
        <v>412</v>
      </c>
      <c r="E2" s="197" t="s">
        <v>412</v>
      </c>
      <c r="F2" s="197" t="s">
        <v>412</v>
      </c>
      <c r="H2" s="197" t="s">
        <v>412</v>
      </c>
    </row>
    <row r="3" spans="1:33" x14ac:dyDescent="0.2">
      <c r="B3" s="197" t="s">
        <v>712</v>
      </c>
      <c r="C3" s="633" t="s">
        <v>713</v>
      </c>
      <c r="D3" s="634"/>
      <c r="E3" s="634"/>
      <c r="F3" s="634"/>
      <c r="G3" s="634"/>
      <c r="H3" s="635"/>
      <c r="I3" s="264"/>
      <c r="J3" s="264"/>
      <c r="K3" s="264"/>
      <c r="L3" s="264"/>
      <c r="M3" s="633" t="s">
        <v>714</v>
      </c>
      <c r="N3" s="634"/>
      <c r="O3" s="634"/>
      <c r="P3" s="634"/>
      <c r="Q3" s="634"/>
      <c r="R3" s="634"/>
      <c r="S3" s="634"/>
      <c r="T3" s="634"/>
      <c r="U3" s="635"/>
      <c r="X3" s="197" t="s">
        <v>303</v>
      </c>
      <c r="AF3" s="203" t="s">
        <v>303</v>
      </c>
    </row>
    <row r="4" spans="1:33" x14ac:dyDescent="0.2">
      <c r="B4" s="197" t="s">
        <v>715</v>
      </c>
      <c r="C4" s="200" t="s">
        <v>144</v>
      </c>
      <c r="D4" s="200" t="s">
        <v>346</v>
      </c>
      <c r="E4" s="200" t="s">
        <v>716</v>
      </c>
      <c r="F4" s="200" t="s">
        <v>609</v>
      </c>
      <c r="G4" s="200" t="s">
        <v>600</v>
      </c>
      <c r="H4" s="200" t="s">
        <v>148</v>
      </c>
      <c r="I4" s="198" t="s">
        <v>720</v>
      </c>
      <c r="J4" s="198" t="s">
        <v>147</v>
      </c>
      <c r="K4" s="198" t="s">
        <v>914</v>
      </c>
      <c r="L4" s="198" t="s">
        <v>150</v>
      </c>
      <c r="M4" s="198" t="s">
        <v>147</v>
      </c>
      <c r="N4" s="199"/>
      <c r="O4" s="198" t="s">
        <v>148</v>
      </c>
      <c r="P4" s="199"/>
      <c r="Q4" s="198" t="s">
        <v>149</v>
      </c>
      <c r="R4" s="199"/>
      <c r="S4" s="198" t="s">
        <v>673</v>
      </c>
      <c r="T4" s="199"/>
      <c r="U4" s="201" t="s">
        <v>144</v>
      </c>
      <c r="X4" s="197" t="s">
        <v>715</v>
      </c>
      <c r="AF4" s="203" t="s">
        <v>607</v>
      </c>
    </row>
    <row r="5" spans="1:33" x14ac:dyDescent="0.2">
      <c r="A5" s="202" t="s">
        <v>46</v>
      </c>
      <c r="AA5" s="203" t="s">
        <v>148</v>
      </c>
      <c r="AB5" s="154">
        <v>10000</v>
      </c>
      <c r="AC5" s="154">
        <v>1496.57</v>
      </c>
      <c r="AD5" s="154">
        <f>SUM(AB5:AC5)</f>
        <v>11496.57</v>
      </c>
    </row>
    <row r="6" spans="1:33" x14ac:dyDescent="0.2">
      <c r="A6" s="204" t="s">
        <v>27</v>
      </c>
      <c r="B6" s="154">
        <v>165075334</v>
      </c>
      <c r="D6" s="154">
        <f>D47</f>
        <v>245048</v>
      </c>
      <c r="G6" s="154">
        <f>-4338305</f>
        <v>-4338305</v>
      </c>
      <c r="H6" s="154">
        <f>H50</f>
        <v>10000</v>
      </c>
      <c r="I6" s="154">
        <f>-1720526-95800</f>
        <v>-1816326</v>
      </c>
      <c r="P6" s="154" t="s">
        <v>717</v>
      </c>
      <c r="R6" s="154" t="s">
        <v>717</v>
      </c>
      <c r="T6" s="203" t="s">
        <v>718</v>
      </c>
      <c r="U6" s="203"/>
      <c r="W6" s="154">
        <f>B6+C6+D6+E6+F6+H6+M6+O6+U6+V6+Q6+S6+U7+G6+I6+J6+K6+L6+D7</f>
        <v>140289323</v>
      </c>
      <c r="X6" s="154">
        <v>140279224</v>
      </c>
      <c r="Y6" s="154">
        <f>W6-X6</f>
        <v>10099</v>
      </c>
      <c r="AA6" s="203" t="s">
        <v>149</v>
      </c>
      <c r="AB6" s="154">
        <v>118039159</v>
      </c>
      <c r="AC6" s="154">
        <v>11239327</v>
      </c>
      <c r="AD6" s="154">
        <f>SUM(AB6:AC6)</f>
        <v>129278486</v>
      </c>
      <c r="AF6" s="154">
        <f>W6</f>
        <v>140289323</v>
      </c>
      <c r="AG6" s="154">
        <v>157869</v>
      </c>
    </row>
    <row r="7" spans="1:33" x14ac:dyDescent="0.2">
      <c r="A7" s="204"/>
      <c r="D7" s="154">
        <f>-18641380-D6</f>
        <v>-18886428</v>
      </c>
      <c r="T7" s="203" t="s">
        <v>719</v>
      </c>
      <c r="U7" s="203"/>
      <c r="AA7" s="203"/>
    </row>
    <row r="8" spans="1:33" x14ac:dyDescent="0.2">
      <c r="A8" s="204" t="s">
        <v>28</v>
      </c>
      <c r="B8" s="193">
        <v>-147481775</v>
      </c>
      <c r="D8" s="154">
        <f>D48</f>
        <v>-217698</v>
      </c>
      <c r="G8" s="154">
        <f>4338305</f>
        <v>4338305</v>
      </c>
      <c r="I8" s="154">
        <f>1816326</f>
        <v>1816326</v>
      </c>
      <c r="W8" s="154">
        <f>B8+C8+D8+E8+F8+H8+M8+O8+U8+V8+Q8+S8+U9+G8+I8+J8+K8+L8+D9</f>
        <v>-122658415</v>
      </c>
      <c r="X8" s="193">
        <v>-121265043</v>
      </c>
      <c r="Y8" s="154">
        <f>W8-X8</f>
        <v>-1393372</v>
      </c>
      <c r="AA8" s="203" t="s">
        <v>340</v>
      </c>
      <c r="AB8" s="154">
        <v>0</v>
      </c>
      <c r="AC8" s="154">
        <v>1389727</v>
      </c>
      <c r="AD8" s="154">
        <f>SUM(AB8:AC8)</f>
        <v>1389727</v>
      </c>
      <c r="AF8" s="193">
        <f>W8</f>
        <v>-122658415</v>
      </c>
      <c r="AG8" s="193">
        <v>-152395</v>
      </c>
    </row>
    <row r="9" spans="1:33" x14ac:dyDescent="0.2">
      <c r="A9" s="202" t="s">
        <v>48</v>
      </c>
      <c r="B9" s="154">
        <f>SUM(B6:B8)</f>
        <v>17593559</v>
      </c>
      <c r="D9" s="154">
        <f>18668729-D8</f>
        <v>18886427</v>
      </c>
      <c r="W9" s="154">
        <f>SUM(W6:W8)</f>
        <v>17630908</v>
      </c>
      <c r="X9" s="154">
        <f>SUM(X6:X8)</f>
        <v>19014181</v>
      </c>
      <c r="AA9" s="203" t="s">
        <v>720</v>
      </c>
      <c r="AB9" s="154">
        <v>19108217</v>
      </c>
      <c r="AC9" s="154">
        <v>1952081</v>
      </c>
      <c r="AD9" s="154">
        <f>SUM(AB9:AC9)</f>
        <v>21060298</v>
      </c>
      <c r="AF9" s="154">
        <f>W9</f>
        <v>17630908</v>
      </c>
      <c r="AG9" s="154">
        <f>SUM(AG6:AG8)</f>
        <v>5474</v>
      </c>
    </row>
    <row r="10" spans="1:33" x14ac:dyDescent="0.2">
      <c r="A10" s="204"/>
      <c r="AD10" s="154">
        <f>SUM(AB10:AC10)</f>
        <v>0</v>
      </c>
    </row>
    <row r="11" spans="1:33" x14ac:dyDescent="0.2">
      <c r="A11" s="204" t="s">
        <v>29</v>
      </c>
      <c r="B11" s="154">
        <v>2910769</v>
      </c>
      <c r="C11" s="154">
        <v>-1082752</v>
      </c>
      <c r="D11" s="154">
        <f>D46</f>
        <v>202541</v>
      </c>
      <c r="E11" s="154">
        <v>-96000</v>
      </c>
      <c r="F11" s="154">
        <v>-45000</v>
      </c>
      <c r="G11" s="267">
        <f>G53</f>
        <v>-112626</v>
      </c>
      <c r="P11" s="154" t="s">
        <v>717</v>
      </c>
      <c r="R11" s="154" t="s">
        <v>717</v>
      </c>
      <c r="T11" s="203" t="s">
        <v>721</v>
      </c>
      <c r="W11" s="154">
        <f>B11+C11+D11+E11+F11+H11+M11+O11+U11+V11+Q11+S11+U12+G11+I11+J11+K11+L11+G12</f>
        <v>1649132</v>
      </c>
      <c r="X11" s="154">
        <f>336979+1554362</f>
        <v>1891341</v>
      </c>
      <c r="Y11" s="154">
        <f>W11-X11</f>
        <v>-242209</v>
      </c>
      <c r="AF11" s="154">
        <f>W11</f>
        <v>1649132</v>
      </c>
      <c r="AG11" s="154">
        <v>2846</v>
      </c>
    </row>
    <row r="12" spans="1:33" x14ac:dyDescent="0.2">
      <c r="A12" s="204"/>
      <c r="G12" s="273">
        <f>G52</f>
        <v>-127800</v>
      </c>
      <c r="T12" s="203" t="s">
        <v>722</v>
      </c>
      <c r="AB12" s="154">
        <f>SUM(AB5:AB11)</f>
        <v>137157376</v>
      </c>
      <c r="AC12" s="154">
        <f>SUM(AC5:AC11)</f>
        <v>14582631.57</v>
      </c>
    </row>
    <row r="13" spans="1:33" x14ac:dyDescent="0.2">
      <c r="A13" s="205" t="s">
        <v>47</v>
      </c>
      <c r="B13" s="154">
        <v>-5062380</v>
      </c>
      <c r="D13" s="154">
        <v>-180562</v>
      </c>
      <c r="N13" s="203" t="s">
        <v>723</v>
      </c>
      <c r="W13" s="154">
        <f>B13+C13+D13+E13+F13+H13+M13+O13+U13+V13+Q13+S13+U14+G13+I13+J13+K13+L13</f>
        <v>-5242942</v>
      </c>
      <c r="X13" s="154">
        <v>-5293865</v>
      </c>
      <c r="Y13" s="154">
        <f>W13-X13</f>
        <v>50923</v>
      </c>
      <c r="AB13" s="154">
        <v>137157376</v>
      </c>
      <c r="AC13" s="154">
        <v>14575435</v>
      </c>
      <c r="AF13" s="154">
        <f>W13</f>
        <v>-5242942</v>
      </c>
      <c r="AG13" s="154">
        <v>-4997</v>
      </c>
    </row>
    <row r="14" spans="1:33" x14ac:dyDescent="0.2">
      <c r="A14" s="205"/>
      <c r="N14" s="203" t="s">
        <v>724</v>
      </c>
      <c r="AB14" s="154">
        <f>AB13-AB12</f>
        <v>0</v>
      </c>
      <c r="AC14" s="154">
        <f>AC13-AC12</f>
        <v>-7196.570000000298</v>
      </c>
    </row>
    <row r="15" spans="1:33" x14ac:dyDescent="0.2">
      <c r="A15" s="204" t="s">
        <v>30</v>
      </c>
      <c r="B15" s="154">
        <v>-16664416</v>
      </c>
      <c r="C15" s="154">
        <f>C43+C44</f>
        <v>-57735</v>
      </c>
      <c r="D15" s="154">
        <f>D43+D44</f>
        <v>-93158</v>
      </c>
      <c r="E15" s="154">
        <v>6081</v>
      </c>
      <c r="F15" s="154">
        <v>1961</v>
      </c>
      <c r="G15" s="268">
        <f>G50+G51+G54+G55+G56+G57+G58+G59+G60+G61+G62+G63+G64</f>
        <v>-166098</v>
      </c>
      <c r="H15" s="154">
        <f>H54+H55+H57+H58+H66</f>
        <v>406008</v>
      </c>
      <c r="N15" s="203" t="s">
        <v>723</v>
      </c>
      <c r="P15" s="203" t="s">
        <v>725</v>
      </c>
      <c r="T15" s="203" t="s">
        <v>521</v>
      </c>
      <c r="U15" s="154">
        <f>-430950</f>
        <v>-430950</v>
      </c>
      <c r="W15" s="154">
        <f>B15+C15+D15+E15+F15+H15+M15+O15+U15+V15+Q15+S15+U16+G15+I15+J15+K15+L15+D16+H16+C16</f>
        <v>-15735708</v>
      </c>
      <c r="X15" s="154">
        <v>-17355319</v>
      </c>
      <c r="Y15" s="154">
        <f>W15-X15</f>
        <v>1619611</v>
      </c>
      <c r="AF15" s="154">
        <f>W15</f>
        <v>-15735708</v>
      </c>
      <c r="AG15" s="154">
        <v>-11862</v>
      </c>
    </row>
    <row r="16" spans="1:33" x14ac:dyDescent="0.2">
      <c r="A16" s="204"/>
      <c r="C16" s="154">
        <v>1082752</v>
      </c>
      <c r="D16" s="154">
        <v>180562</v>
      </c>
      <c r="H16" s="154">
        <v>-715</v>
      </c>
      <c r="N16" s="206" t="s">
        <v>726</v>
      </c>
    </row>
    <row r="17" spans="1:33" x14ac:dyDescent="0.2">
      <c r="A17" s="204"/>
      <c r="N17" s="206" t="s">
        <v>727</v>
      </c>
    </row>
    <row r="18" spans="1:33" x14ac:dyDescent="0.2">
      <c r="A18" s="204"/>
    </row>
    <row r="19" spans="1:33" x14ac:dyDescent="0.2">
      <c r="A19" s="204"/>
    </row>
    <row r="20" spans="1:33" x14ac:dyDescent="0.2">
      <c r="A20" s="204"/>
      <c r="B20" s="193"/>
      <c r="W20" s="193"/>
      <c r="X20" s="193"/>
      <c r="AF20" s="193"/>
      <c r="AG20" s="193"/>
    </row>
    <row r="21" spans="1:33" x14ac:dyDescent="0.2">
      <c r="A21" s="202" t="s">
        <v>106</v>
      </c>
      <c r="B21" s="154">
        <f>SUM(B9:B20)</f>
        <v>-1222468</v>
      </c>
      <c r="W21" s="154">
        <f>SUM(W9:W20)</f>
        <v>-1698610</v>
      </c>
      <c r="X21" s="154">
        <f>SUM(X9:X20)</f>
        <v>-1743662</v>
      </c>
      <c r="AF21" s="154">
        <f>W21</f>
        <v>-1698610</v>
      </c>
      <c r="AG21" s="154">
        <f>SUM(AG9:AG20)</f>
        <v>-8539</v>
      </c>
    </row>
    <row r="22" spans="1:33" x14ac:dyDescent="0.2">
      <c r="A22" s="202"/>
      <c r="Y22" s="154">
        <f>W22-X22</f>
        <v>0</v>
      </c>
    </row>
    <row r="23" spans="1:33" x14ac:dyDescent="0.2">
      <c r="A23" s="204" t="s">
        <v>3</v>
      </c>
      <c r="B23" s="157">
        <v>-2100078</v>
      </c>
      <c r="C23" s="157"/>
      <c r="D23" s="157"/>
      <c r="E23" s="157"/>
      <c r="F23" s="157"/>
      <c r="G23" s="157"/>
      <c r="H23" s="157">
        <v>715</v>
      </c>
      <c r="I23" s="157"/>
      <c r="J23" s="157"/>
      <c r="K23" s="157"/>
      <c r="L23" s="157"/>
      <c r="M23" s="157"/>
      <c r="N23" s="206" t="s">
        <v>726</v>
      </c>
      <c r="O23" s="157"/>
      <c r="P23" s="206" t="s">
        <v>726</v>
      </c>
      <c r="Q23" s="157"/>
      <c r="R23" s="157"/>
      <c r="S23" s="157"/>
      <c r="T23" s="157"/>
      <c r="U23" s="157"/>
      <c r="V23" s="157"/>
      <c r="W23" s="154">
        <f>B23+C23+D23+E23+F23+H23+M23+O23+U23+V23+Q23+S23+U24+G23+I23+J23+K23+L23</f>
        <v>-2099363</v>
      </c>
      <c r="X23" s="157">
        <v>-2098463</v>
      </c>
      <c r="Y23" s="154">
        <f>W23-X23</f>
        <v>-900</v>
      </c>
      <c r="AF23" s="154">
        <f>W23</f>
        <v>-2099363</v>
      </c>
      <c r="AG23" s="154">
        <v>-2840</v>
      </c>
    </row>
    <row r="24" spans="1:33" x14ac:dyDescent="0.2">
      <c r="A24" s="204"/>
      <c r="B24" s="157"/>
      <c r="N24" s="206" t="s">
        <v>727</v>
      </c>
      <c r="W24" s="157"/>
      <c r="X24" s="157"/>
    </row>
    <row r="25" spans="1:33" x14ac:dyDescent="0.2">
      <c r="A25" s="204"/>
      <c r="B25" s="157"/>
      <c r="W25" s="157"/>
      <c r="X25" s="157"/>
    </row>
    <row r="26" spans="1:33" x14ac:dyDescent="0.2">
      <c r="A26" s="204"/>
      <c r="B26" s="193"/>
      <c r="W26" s="193"/>
      <c r="X26" s="193"/>
      <c r="AF26" s="193"/>
      <c r="AG26" s="193"/>
    </row>
    <row r="27" spans="1:33" x14ac:dyDescent="0.2">
      <c r="A27" s="207" t="s">
        <v>66</v>
      </c>
      <c r="B27" s="154">
        <f>SUM(B21:B23)</f>
        <v>-3322546</v>
      </c>
      <c r="W27" s="154">
        <f>SUM(W21:W23)</f>
        <v>-3797973</v>
      </c>
      <c r="X27" s="154">
        <f>SUM(X21:X23)</f>
        <v>-3842125</v>
      </c>
      <c r="AF27" s="154">
        <f>W27</f>
        <v>-3797973</v>
      </c>
      <c r="AG27" s="154">
        <f>SUM(AG21:AG26)</f>
        <v>-11379</v>
      </c>
    </row>
    <row r="28" spans="1:33" x14ac:dyDescent="0.2">
      <c r="A28" s="202"/>
    </row>
    <row r="29" spans="1:33" x14ac:dyDescent="0.2">
      <c r="A29" s="205" t="s">
        <v>107</v>
      </c>
      <c r="B29" s="157">
        <v>-1565911</v>
      </c>
      <c r="C29" s="265">
        <f>C45</f>
        <v>809</v>
      </c>
      <c r="D29" s="266">
        <f>D45</f>
        <v>-37615</v>
      </c>
      <c r="H29" s="154">
        <f>H65</f>
        <v>247701</v>
      </c>
      <c r="J29" s="154">
        <f>J65</f>
        <v>-1686</v>
      </c>
      <c r="K29" s="154">
        <f>K65</f>
        <v>-12681</v>
      </c>
      <c r="L29" s="154">
        <f>L65</f>
        <v>-106</v>
      </c>
      <c r="W29" s="154">
        <f>B29+C29+D29+E29+F29+H29+M29+O29+U29+V29+Q29+S29+U30+G29+I29+J29+K29+L29</f>
        <v>-1369489</v>
      </c>
      <c r="X29" s="154">
        <v>-1369389</v>
      </c>
      <c r="Y29" s="154">
        <f>W29-X29</f>
        <v>-100</v>
      </c>
      <c r="AF29" s="154">
        <f>W29</f>
        <v>-1369489</v>
      </c>
      <c r="AG29" s="154">
        <v>-276</v>
      </c>
    </row>
    <row r="30" spans="1:33" x14ac:dyDescent="0.2">
      <c r="A30" s="205"/>
      <c r="B30" s="157"/>
    </row>
    <row r="31" spans="1:33" x14ac:dyDescent="0.2">
      <c r="A31" s="205"/>
      <c r="B31" s="157"/>
    </row>
    <row r="32" spans="1:33" x14ac:dyDescent="0.2">
      <c r="A32" s="205"/>
      <c r="B32" s="193"/>
      <c r="W32" s="193"/>
      <c r="X32" s="193"/>
      <c r="AF32" s="193"/>
      <c r="AG32" s="193"/>
    </row>
    <row r="33" spans="1:33" x14ac:dyDescent="0.2">
      <c r="A33" s="202" t="s">
        <v>67</v>
      </c>
      <c r="B33" s="154">
        <f>SUM(B27:B32)</f>
        <v>-4888457</v>
      </c>
      <c r="W33" s="154">
        <f>SUM(W27:W32)</f>
        <v>-5167462</v>
      </c>
      <c r="X33" s="154">
        <f>SUM(X27:X32)</f>
        <v>-5211514</v>
      </c>
      <c r="Y33" s="154">
        <f>W33-X33</f>
        <v>44052</v>
      </c>
      <c r="AF33" s="154">
        <f>W33</f>
        <v>-5167462</v>
      </c>
      <c r="AG33" s="154">
        <f>SUM(AG27:AG32)</f>
        <v>-11655</v>
      </c>
    </row>
    <row r="34" spans="1:33" x14ac:dyDescent="0.2">
      <c r="A34" s="205"/>
    </row>
    <row r="35" spans="1:33" x14ac:dyDescent="0.2">
      <c r="A35" s="207" t="s">
        <v>49</v>
      </c>
      <c r="B35" s="154">
        <v>0</v>
      </c>
    </row>
    <row r="36" spans="1:33" x14ac:dyDescent="0.2">
      <c r="A36" s="205" t="s">
        <v>50</v>
      </c>
      <c r="B36" s="154">
        <v>0</v>
      </c>
    </row>
    <row r="37" spans="1:33" x14ac:dyDescent="0.2">
      <c r="A37" s="205" t="s">
        <v>51</v>
      </c>
      <c r="B37" s="154">
        <v>0</v>
      </c>
    </row>
    <row r="38" spans="1:33" x14ac:dyDescent="0.2">
      <c r="A38" s="205"/>
    </row>
    <row r="39" spans="1:33" ht="13.5" thickBot="1" x14ac:dyDescent="0.25">
      <c r="A39" s="207" t="s">
        <v>67</v>
      </c>
      <c r="B39" s="156">
        <f>SUM(B33:B38)</f>
        <v>-4888457</v>
      </c>
      <c r="W39" s="156">
        <f>SUM(W33:W38)</f>
        <v>-5167462</v>
      </c>
      <c r="X39" s="156">
        <f>SUM(X33:X38)</f>
        <v>-5211514</v>
      </c>
    </row>
    <row r="40" spans="1:33" ht="13.5" thickTop="1" x14ac:dyDescent="0.2"/>
    <row r="41" spans="1:33" x14ac:dyDescent="0.2">
      <c r="C41" s="154">
        <f t="shared" ref="C41:H41" si="0">SUM(C43:C73)</f>
        <v>-56926</v>
      </c>
      <c r="D41" s="270">
        <f t="shared" si="0"/>
        <v>99118</v>
      </c>
      <c r="E41" s="271">
        <f t="shared" si="0"/>
        <v>-89919</v>
      </c>
      <c r="F41" s="271">
        <f t="shared" si="0"/>
        <v>-43039</v>
      </c>
      <c r="G41" s="154">
        <f t="shared" si="0"/>
        <v>-406524</v>
      </c>
      <c r="H41" s="154">
        <f t="shared" si="0"/>
        <v>663709</v>
      </c>
    </row>
    <row r="43" spans="1:33" x14ac:dyDescent="0.2">
      <c r="A43" s="154" t="s">
        <v>895</v>
      </c>
      <c r="C43" s="154">
        <v>-49500</v>
      </c>
      <c r="D43" s="154">
        <v>-82583</v>
      </c>
    </row>
    <row r="44" spans="1:33" x14ac:dyDescent="0.2">
      <c r="A44" s="154" t="s">
        <v>896</v>
      </c>
      <c r="C44" s="154">
        <v>-8235</v>
      </c>
      <c r="D44" s="154">
        <v>-10575</v>
      </c>
    </row>
    <row r="45" spans="1:33" x14ac:dyDescent="0.2">
      <c r="A45" s="154" t="s">
        <v>897</v>
      </c>
      <c r="C45" s="266">
        <v>809</v>
      </c>
      <c r="D45" s="266">
        <v>-37615</v>
      </c>
    </row>
    <row r="46" spans="1:33" x14ac:dyDescent="0.2">
      <c r="A46" s="203" t="s">
        <v>917</v>
      </c>
      <c r="C46" s="269"/>
      <c r="D46" s="269">
        <v>202541</v>
      </c>
    </row>
    <row r="47" spans="1:33" x14ac:dyDescent="0.2">
      <c r="A47" s="203" t="s">
        <v>918</v>
      </c>
      <c r="C47" s="269"/>
      <c r="D47" s="269">
        <v>245048</v>
      </c>
    </row>
    <row r="48" spans="1:33" x14ac:dyDescent="0.2">
      <c r="A48" s="203" t="s">
        <v>919</v>
      </c>
      <c r="C48" s="269"/>
      <c r="D48" s="269">
        <v>-217698</v>
      </c>
    </row>
    <row r="49" spans="1:8" s="269" customFormat="1" x14ac:dyDescent="0.2"/>
    <row r="50" spans="1:8" x14ac:dyDescent="0.2">
      <c r="A50" s="154" t="s">
        <v>898</v>
      </c>
      <c r="G50" s="268">
        <v>372960</v>
      </c>
      <c r="H50" s="154">
        <v>10000</v>
      </c>
    </row>
    <row r="51" spans="1:8" x14ac:dyDescent="0.2">
      <c r="A51" s="154" t="s">
        <v>899</v>
      </c>
      <c r="G51" s="268">
        <v>276506</v>
      </c>
    </row>
    <row r="52" spans="1:8" x14ac:dyDescent="0.2">
      <c r="A52" s="154" t="s">
        <v>900</v>
      </c>
      <c r="G52" s="274">
        <v>-127800</v>
      </c>
    </row>
    <row r="53" spans="1:8" x14ac:dyDescent="0.2">
      <c r="A53" s="154" t="s">
        <v>901</v>
      </c>
      <c r="G53" s="267">
        <v>-112626</v>
      </c>
    </row>
    <row r="54" spans="1:8" x14ac:dyDescent="0.2">
      <c r="A54" s="154" t="s">
        <v>902</v>
      </c>
      <c r="G54" s="268">
        <v>-36920</v>
      </c>
      <c r="H54" s="154">
        <v>48531</v>
      </c>
    </row>
    <row r="55" spans="1:8" x14ac:dyDescent="0.2">
      <c r="A55" s="154" t="s">
        <v>903</v>
      </c>
      <c r="G55" s="268">
        <v>-7719</v>
      </c>
      <c r="H55" s="154">
        <v>5830</v>
      </c>
    </row>
    <row r="56" spans="1:8" x14ac:dyDescent="0.2">
      <c r="A56" s="154" t="s">
        <v>903</v>
      </c>
      <c r="G56" s="268">
        <v>2903</v>
      </c>
    </row>
    <row r="57" spans="1:8" x14ac:dyDescent="0.2">
      <c r="A57" s="154" t="s">
        <v>904</v>
      </c>
      <c r="G57" s="268">
        <v>-113227</v>
      </c>
      <c r="H57" s="154">
        <v>12000</v>
      </c>
    </row>
    <row r="58" spans="1:8" x14ac:dyDescent="0.2">
      <c r="A58" s="154" t="s">
        <v>906</v>
      </c>
      <c r="G58" s="268">
        <v>-236493</v>
      </c>
      <c r="H58" s="154">
        <v>-10000</v>
      </c>
    </row>
    <row r="59" spans="1:8" x14ac:dyDescent="0.2">
      <c r="A59" s="154" t="s">
        <v>905</v>
      </c>
      <c r="G59" s="268">
        <v>-126520</v>
      </c>
    </row>
    <row r="60" spans="1:8" x14ac:dyDescent="0.2">
      <c r="A60" s="154" t="s">
        <v>906</v>
      </c>
      <c r="G60" s="268">
        <v>-163279</v>
      </c>
    </row>
    <row r="61" spans="1:8" x14ac:dyDescent="0.2">
      <c r="A61" s="154" t="s">
        <v>907</v>
      </c>
      <c r="G61" s="268">
        <v>-246440</v>
      </c>
    </row>
    <row r="62" spans="1:8" x14ac:dyDescent="0.2">
      <c r="A62" s="154" t="s">
        <v>908</v>
      </c>
      <c r="G62" s="268">
        <v>49681</v>
      </c>
    </row>
    <row r="63" spans="1:8" x14ac:dyDescent="0.2">
      <c r="A63" s="154" t="s">
        <v>909</v>
      </c>
      <c r="G63" s="268">
        <v>62000</v>
      </c>
    </row>
    <row r="64" spans="1:8" x14ac:dyDescent="0.2">
      <c r="A64" s="154" t="s">
        <v>903</v>
      </c>
      <c r="G64" s="268">
        <v>450</v>
      </c>
    </row>
    <row r="65" spans="1:12" x14ac:dyDescent="0.2">
      <c r="A65" s="154" t="s">
        <v>910</v>
      </c>
      <c r="H65" s="266">
        <v>247701</v>
      </c>
      <c r="J65" s="266">
        <v>-1686</v>
      </c>
      <c r="K65" s="266">
        <v>-12681</v>
      </c>
      <c r="L65" s="266">
        <v>-106</v>
      </c>
    </row>
    <row r="66" spans="1:12" x14ac:dyDescent="0.2">
      <c r="A66" s="154" t="s">
        <v>911</v>
      </c>
      <c r="H66" s="154">
        <v>349647</v>
      </c>
    </row>
    <row r="67" spans="1:12" x14ac:dyDescent="0.2">
      <c r="A67" s="154" t="s">
        <v>912</v>
      </c>
      <c r="I67" s="154">
        <v>-44350.54</v>
      </c>
    </row>
    <row r="68" spans="1:12" x14ac:dyDescent="0.2">
      <c r="A68" s="154" t="s">
        <v>913</v>
      </c>
      <c r="I68" s="154">
        <v>300</v>
      </c>
    </row>
    <row r="69" spans="1:12" x14ac:dyDescent="0.2">
      <c r="A69" s="154" t="s">
        <v>915</v>
      </c>
      <c r="E69" s="154">
        <v>-89919</v>
      </c>
    </row>
    <row r="70" spans="1:12" x14ac:dyDescent="0.2">
      <c r="A70" s="154" t="s">
        <v>916</v>
      </c>
      <c r="F70" s="154">
        <v>-43039</v>
      </c>
    </row>
  </sheetData>
  <mergeCells count="2">
    <mergeCell ref="C3:H3"/>
    <mergeCell ref="M3:U3"/>
  </mergeCells>
  <pageMargins left="0.70866141732283472" right="0.70866141732283472" top="0.74803149606299213" bottom="0.74803149606299213" header="0.31496062992125984" footer="0.31496062992125984"/>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40"/>
  <sheetViews>
    <sheetView workbookViewId="0">
      <selection sqref="A1:AP1"/>
    </sheetView>
  </sheetViews>
  <sheetFormatPr defaultRowHeight="12.75" x14ac:dyDescent="0.2"/>
  <cols>
    <col min="1" max="1" width="24.140625" style="154" bestFit="1" customWidth="1"/>
    <col min="2" max="2" width="14.7109375" style="154" bestFit="1" customWidth="1"/>
    <col min="3" max="3" width="9" style="154" bestFit="1" customWidth="1"/>
    <col min="4" max="4" width="7.42578125" style="154" bestFit="1" customWidth="1"/>
    <col min="5" max="5" width="8.28515625" style="154" bestFit="1" customWidth="1"/>
    <col min="6" max="6" width="7.28515625" style="154" bestFit="1" customWidth="1"/>
    <col min="7" max="7" width="12.42578125" style="154" bestFit="1" customWidth="1"/>
    <col min="8" max="8" width="10.5703125" style="154" bestFit="1" customWidth="1"/>
    <col min="9" max="9" width="8.85546875" style="154" bestFit="1" customWidth="1"/>
    <col min="10" max="10" width="10.28515625" style="154" bestFit="1" customWidth="1"/>
    <col min="11" max="11" width="10.5703125" style="154" customWidth="1"/>
    <col min="12" max="12" width="10" style="154" bestFit="1" customWidth="1"/>
    <col min="13" max="13" width="11.85546875" style="154" bestFit="1" customWidth="1"/>
    <col min="14" max="14" width="9.28515625" style="154" bestFit="1" customWidth="1"/>
    <col min="15" max="15" width="9.5703125" style="154" bestFit="1" customWidth="1"/>
    <col min="16" max="16" width="10.7109375" style="154" bestFit="1" customWidth="1"/>
    <col min="17" max="17" width="10.85546875" style="154" bestFit="1" customWidth="1"/>
    <col min="18" max="18" width="9.140625" style="154"/>
    <col min="19" max="20" width="12.85546875" style="154" bestFit="1" customWidth="1"/>
    <col min="21" max="21" width="3.7109375" style="154" bestFit="1" customWidth="1"/>
    <col min="22" max="22" width="9.140625" style="154"/>
    <col min="23" max="23" width="12" style="154" bestFit="1" customWidth="1"/>
    <col min="24" max="24" width="12.28515625" style="154" bestFit="1" customWidth="1"/>
    <col min="25" max="25" width="11.28515625" style="154" bestFit="1" customWidth="1"/>
    <col min="26" max="26" width="12.28515625" style="154" bestFit="1" customWidth="1"/>
    <col min="27" max="27" width="9.140625" style="154"/>
    <col min="28" max="28" width="12.85546875" style="154" bestFit="1" customWidth="1"/>
    <col min="29" max="29" width="9.28515625" style="154" bestFit="1" customWidth="1"/>
    <col min="30" max="16384" width="9.140625" style="154"/>
  </cols>
  <sheetData>
    <row r="3" spans="1:29" x14ac:dyDescent="0.2">
      <c r="B3" s="197" t="s">
        <v>712</v>
      </c>
      <c r="C3" s="633" t="s">
        <v>713</v>
      </c>
      <c r="D3" s="634"/>
      <c r="E3" s="634"/>
      <c r="F3" s="634"/>
      <c r="G3" s="634"/>
      <c r="H3" s="635"/>
      <c r="I3" s="633" t="s">
        <v>714</v>
      </c>
      <c r="J3" s="634"/>
      <c r="K3" s="634"/>
      <c r="L3" s="634"/>
      <c r="M3" s="634"/>
      <c r="N3" s="634"/>
      <c r="O3" s="634"/>
      <c r="P3" s="634"/>
      <c r="Q3" s="635"/>
      <c r="S3" s="197" t="s">
        <v>303</v>
      </c>
      <c r="AB3" s="203" t="s">
        <v>303</v>
      </c>
    </row>
    <row r="4" spans="1:29" x14ac:dyDescent="0.2">
      <c r="B4" s="197" t="s">
        <v>715</v>
      </c>
      <c r="C4" s="200" t="s">
        <v>144</v>
      </c>
      <c r="D4" s="200" t="s">
        <v>346</v>
      </c>
      <c r="E4" s="200" t="s">
        <v>716</v>
      </c>
      <c r="F4" s="200" t="s">
        <v>609</v>
      </c>
      <c r="G4" s="200" t="s">
        <v>600</v>
      </c>
      <c r="H4" s="200" t="s">
        <v>148</v>
      </c>
      <c r="I4" s="198" t="s">
        <v>147</v>
      </c>
      <c r="J4" s="199"/>
      <c r="K4" s="198" t="s">
        <v>148</v>
      </c>
      <c r="L4" s="199"/>
      <c r="M4" s="198" t="s">
        <v>149</v>
      </c>
      <c r="N4" s="199"/>
      <c r="O4" s="198" t="s">
        <v>673</v>
      </c>
      <c r="P4" s="199"/>
      <c r="Q4" s="201" t="s">
        <v>144</v>
      </c>
      <c r="S4" s="197" t="s">
        <v>715</v>
      </c>
      <c r="AB4" s="203" t="s">
        <v>607</v>
      </c>
    </row>
    <row r="5" spans="1:29" x14ac:dyDescent="0.2">
      <c r="A5" s="202" t="s">
        <v>46</v>
      </c>
      <c r="W5" s="203" t="s">
        <v>148</v>
      </c>
      <c r="X5" s="154">
        <v>10000</v>
      </c>
      <c r="Y5" s="154">
        <v>1496.57</v>
      </c>
      <c r="Z5" s="154">
        <f>SUM(X5:Y5)</f>
        <v>11496.57</v>
      </c>
    </row>
    <row r="6" spans="1:29" x14ac:dyDescent="0.2">
      <c r="A6" s="204" t="s">
        <v>27</v>
      </c>
      <c r="B6" s="154">
        <v>151900058</v>
      </c>
      <c r="L6" s="154" t="s">
        <v>717</v>
      </c>
      <c r="M6" s="154">
        <v>5738956</v>
      </c>
      <c r="N6" s="154" t="s">
        <v>717</v>
      </c>
      <c r="O6" s="154">
        <v>397500</v>
      </c>
      <c r="P6" s="203" t="s">
        <v>718</v>
      </c>
      <c r="Q6" s="203">
        <v>-160050</v>
      </c>
      <c r="S6" s="154">
        <f>B6+C6+D6+E6+F6+H6+I6+K6+Q6+R6+M6+O6+Q7</f>
        <v>157869266</v>
      </c>
      <c r="T6" s="154">
        <v>157869267</v>
      </c>
      <c r="U6" s="154">
        <f>S6-T6</f>
        <v>-1</v>
      </c>
      <c r="W6" s="203" t="s">
        <v>149</v>
      </c>
      <c r="X6" s="154">
        <v>118039159</v>
      </c>
      <c r="Y6" s="154">
        <v>11239327</v>
      </c>
      <c r="Z6" s="154">
        <f>SUM(X6:Y6)</f>
        <v>129278486</v>
      </c>
      <c r="AB6" s="154">
        <f>S6</f>
        <v>157869266</v>
      </c>
      <c r="AC6" s="154">
        <v>157869</v>
      </c>
    </row>
    <row r="7" spans="1:29" x14ac:dyDescent="0.2">
      <c r="A7" s="204"/>
      <c r="P7" s="203" t="s">
        <v>719</v>
      </c>
      <c r="Q7" s="203">
        <v>-7198</v>
      </c>
      <c r="W7" s="203"/>
    </row>
    <row r="8" spans="1:29" x14ac:dyDescent="0.2">
      <c r="A8" s="204" t="s">
        <v>28</v>
      </c>
      <c r="B8" s="193">
        <v>-152394705</v>
      </c>
      <c r="S8" s="193">
        <f>B8+C8+D8+E8+F8+H8+I8+K8+Q8+R8</f>
        <v>-152394705</v>
      </c>
      <c r="T8" s="193">
        <v>-152394704</v>
      </c>
      <c r="U8" s="154">
        <f>S8-T8</f>
        <v>-1</v>
      </c>
      <c r="W8" s="203" t="s">
        <v>340</v>
      </c>
      <c r="X8" s="154">
        <v>0</v>
      </c>
      <c r="Y8" s="154">
        <v>1389727</v>
      </c>
      <c r="Z8" s="154">
        <f>SUM(X8:Y8)</f>
        <v>1389727</v>
      </c>
      <c r="AB8" s="193">
        <f>S8</f>
        <v>-152394705</v>
      </c>
      <c r="AC8" s="193">
        <v>-152395</v>
      </c>
    </row>
    <row r="9" spans="1:29" x14ac:dyDescent="0.2">
      <c r="A9" s="202" t="s">
        <v>48</v>
      </c>
      <c r="B9" s="154">
        <f>SUM(B6:B8)</f>
        <v>-494647</v>
      </c>
      <c r="S9" s="154">
        <f>SUM(S6:S8)</f>
        <v>5474561</v>
      </c>
      <c r="T9" s="154">
        <f>SUM(T6:T8)</f>
        <v>5474563</v>
      </c>
      <c r="W9" s="203" t="s">
        <v>720</v>
      </c>
      <c r="X9" s="154">
        <v>19108217</v>
      </c>
      <c r="Y9" s="154">
        <v>1952081</v>
      </c>
      <c r="Z9" s="154">
        <f>SUM(X9:Y9)</f>
        <v>21060298</v>
      </c>
      <c r="AB9" s="154">
        <f>S9</f>
        <v>5474561</v>
      </c>
      <c r="AC9" s="154">
        <f>SUM(AC6:AC8)</f>
        <v>5474</v>
      </c>
    </row>
    <row r="10" spans="1:29" x14ac:dyDescent="0.2">
      <c r="A10" s="204"/>
      <c r="Z10" s="154">
        <f>SUM(X10:Y10)</f>
        <v>0</v>
      </c>
    </row>
    <row r="11" spans="1:29" x14ac:dyDescent="0.2">
      <c r="A11" s="204" t="s">
        <v>29</v>
      </c>
      <c r="B11" s="154">
        <v>10212306</v>
      </c>
      <c r="I11" s="154">
        <v>13244.85</v>
      </c>
      <c r="L11" s="154" t="s">
        <v>717</v>
      </c>
      <c r="M11" s="154">
        <v>-5738956</v>
      </c>
      <c r="N11" s="154" t="s">
        <v>717</v>
      </c>
      <c r="O11" s="154">
        <v>-397500</v>
      </c>
      <c r="P11" s="203" t="s">
        <v>721</v>
      </c>
      <c r="Q11" s="154">
        <v>160050</v>
      </c>
      <c r="S11" s="154">
        <f>B11+C11+D11+E11+F11+H11+I11+K11+Q11+R11+Q12+M11+O11</f>
        <v>2846094.8499999996</v>
      </c>
      <c r="T11" s="154">
        <f>361667+160050+2324379</f>
        <v>2846096</v>
      </c>
      <c r="U11" s="154">
        <f>S11-T11</f>
        <v>-1.150000000372529</v>
      </c>
      <c r="AB11" s="154">
        <f>S11</f>
        <v>2846094.8499999996</v>
      </c>
      <c r="AC11" s="154">
        <v>2846</v>
      </c>
    </row>
    <row r="12" spans="1:29" x14ac:dyDescent="0.2">
      <c r="A12" s="204"/>
      <c r="P12" s="203" t="s">
        <v>722</v>
      </c>
      <c r="Q12" s="154">
        <v>-1403050</v>
      </c>
      <c r="X12" s="154">
        <f>SUM(X5:X11)</f>
        <v>137157376</v>
      </c>
      <c r="Y12" s="154">
        <f>SUM(Y5:Y11)</f>
        <v>14582631.57</v>
      </c>
    </row>
    <row r="13" spans="1:29" x14ac:dyDescent="0.2">
      <c r="A13" s="205" t="s">
        <v>47</v>
      </c>
      <c r="B13" s="154">
        <v>-4996301</v>
      </c>
      <c r="J13" s="203" t="s">
        <v>723</v>
      </c>
      <c r="K13" s="154">
        <v>-970</v>
      </c>
      <c r="S13" s="154">
        <f>B13+C13+D13+E13+F13+H13+I13+K13+Q13+R13</f>
        <v>-4997271</v>
      </c>
      <c r="T13" s="154">
        <v>-4997270</v>
      </c>
      <c r="U13" s="154">
        <f>S13-T13</f>
        <v>-1</v>
      </c>
      <c r="X13" s="154">
        <v>137157376</v>
      </c>
      <c r="Y13" s="154">
        <v>14575435</v>
      </c>
      <c r="AB13" s="154">
        <f>S13</f>
        <v>-4997271</v>
      </c>
      <c r="AC13" s="154">
        <v>-4997</v>
      </c>
    </row>
    <row r="14" spans="1:29" x14ac:dyDescent="0.2">
      <c r="A14" s="205"/>
      <c r="J14" s="203" t="s">
        <v>724</v>
      </c>
      <c r="X14" s="154">
        <f>X13-X12</f>
        <v>0</v>
      </c>
      <c r="Y14" s="154">
        <f>Y13-Y12</f>
        <v>-7196.570000000298</v>
      </c>
    </row>
    <row r="15" spans="1:29" x14ac:dyDescent="0.2">
      <c r="A15" s="204" t="s">
        <v>30</v>
      </c>
      <c r="B15" s="154">
        <v>-13254832</v>
      </c>
      <c r="C15" s="154">
        <v>10000</v>
      </c>
      <c r="D15" s="154">
        <v>5000</v>
      </c>
      <c r="G15" s="154">
        <v>-50000</v>
      </c>
      <c r="H15" s="154">
        <v>33139</v>
      </c>
      <c r="I15" s="154">
        <v>-13244.85</v>
      </c>
      <c r="J15" s="203" t="s">
        <v>723</v>
      </c>
      <c r="K15" s="154">
        <v>970</v>
      </c>
      <c r="L15" s="203" t="s">
        <v>725</v>
      </c>
      <c r="M15" s="154">
        <v>-1761.6</v>
      </c>
      <c r="P15" s="203" t="s">
        <v>722</v>
      </c>
      <c r="Q15" s="154">
        <v>1403050</v>
      </c>
      <c r="S15" s="154">
        <f>B15+C15+D15+E15+F15+H15+I15+K15+Q15+R15+K16+K17+M15+G15+Q16</f>
        <v>-11862562.449999999</v>
      </c>
      <c r="T15" s="154">
        <v>-11862560</v>
      </c>
      <c r="U15" s="154">
        <f>S15-T15</f>
        <v>-2.4499999992549419</v>
      </c>
      <c r="AB15" s="154">
        <f>S15</f>
        <v>-11862562.449999999</v>
      </c>
      <c r="AC15" s="154">
        <v>-11862</v>
      </c>
    </row>
    <row r="16" spans="1:29" x14ac:dyDescent="0.2">
      <c r="A16" s="204"/>
      <c r="J16" s="206" t="s">
        <v>726</v>
      </c>
      <c r="K16" s="154">
        <v>-1081</v>
      </c>
      <c r="P16" s="154" t="s">
        <v>719</v>
      </c>
      <c r="Q16" s="154">
        <v>7198</v>
      </c>
    </row>
    <row r="17" spans="1:29" x14ac:dyDescent="0.2">
      <c r="A17" s="204"/>
      <c r="J17" s="206" t="s">
        <v>727</v>
      </c>
      <c r="K17" s="154">
        <v>-1000</v>
      </c>
    </row>
    <row r="18" spans="1:29" x14ac:dyDescent="0.2">
      <c r="A18" s="204"/>
    </row>
    <row r="19" spans="1:29" x14ac:dyDescent="0.2">
      <c r="A19" s="204"/>
    </row>
    <row r="20" spans="1:29" x14ac:dyDescent="0.2">
      <c r="A20" s="204"/>
      <c r="B20" s="193"/>
      <c r="S20" s="193"/>
      <c r="T20" s="193"/>
      <c r="AB20" s="193"/>
      <c r="AC20" s="193"/>
    </row>
    <row r="21" spans="1:29" x14ac:dyDescent="0.2">
      <c r="A21" s="202" t="s">
        <v>106</v>
      </c>
      <c r="B21" s="154">
        <f>SUM(B9:B20)</f>
        <v>-8533474</v>
      </c>
      <c r="S21" s="154">
        <f>SUM(S9:S20)</f>
        <v>-8539177.5999999996</v>
      </c>
      <c r="T21" s="154">
        <f>SUM(T9:T20)</f>
        <v>-8539171</v>
      </c>
      <c r="AB21" s="154">
        <f>S21</f>
        <v>-8539177.5999999996</v>
      </c>
      <c r="AC21" s="154">
        <f>SUM(AC9:AC20)</f>
        <v>-8539</v>
      </c>
    </row>
    <row r="22" spans="1:29" x14ac:dyDescent="0.2">
      <c r="A22" s="202"/>
      <c r="U22" s="154">
        <f>S22-T22</f>
        <v>0</v>
      </c>
    </row>
    <row r="23" spans="1:29" x14ac:dyDescent="0.2">
      <c r="A23" s="204" t="s">
        <v>3</v>
      </c>
      <c r="B23" s="157">
        <v>-2843850</v>
      </c>
      <c r="C23" s="157"/>
      <c r="D23" s="157"/>
      <c r="E23" s="157"/>
      <c r="F23" s="157"/>
      <c r="G23" s="157"/>
      <c r="H23" s="157"/>
      <c r="I23" s="157"/>
      <c r="J23" s="206" t="s">
        <v>726</v>
      </c>
      <c r="K23" s="157">
        <v>1081</v>
      </c>
      <c r="L23" s="206" t="s">
        <v>726</v>
      </c>
      <c r="M23" s="157">
        <v>1761.6</v>
      </c>
      <c r="N23" s="157"/>
      <c r="O23" s="157"/>
      <c r="P23" s="157"/>
      <c r="Q23" s="157"/>
      <c r="R23" s="157"/>
      <c r="S23" s="157">
        <f>B23+C23+D23+E23+F23+H23+I23+K23+Q23+R23+K24+M23</f>
        <v>-2840007.4</v>
      </c>
      <c r="T23" s="157">
        <v>-2840009</v>
      </c>
      <c r="U23" s="154">
        <f>S23-T23</f>
        <v>1.6000000000931323</v>
      </c>
      <c r="AB23" s="154">
        <f>S23</f>
        <v>-2840007.4</v>
      </c>
      <c r="AC23" s="154">
        <v>-2840</v>
      </c>
    </row>
    <row r="24" spans="1:29" x14ac:dyDescent="0.2">
      <c r="A24" s="204"/>
      <c r="B24" s="157"/>
      <c r="J24" s="206" t="s">
        <v>727</v>
      </c>
      <c r="K24" s="154">
        <v>1000</v>
      </c>
      <c r="S24" s="157"/>
      <c r="T24" s="157"/>
    </row>
    <row r="25" spans="1:29" x14ac:dyDescent="0.2">
      <c r="A25" s="204"/>
      <c r="B25" s="157"/>
      <c r="S25" s="157"/>
      <c r="T25" s="157"/>
    </row>
    <row r="26" spans="1:29" x14ac:dyDescent="0.2">
      <c r="A26" s="204"/>
      <c r="B26" s="193"/>
      <c r="S26" s="193"/>
      <c r="T26" s="193"/>
      <c r="AB26" s="193"/>
      <c r="AC26" s="193"/>
    </row>
    <row r="27" spans="1:29" x14ac:dyDescent="0.2">
      <c r="A27" s="207" t="s">
        <v>66</v>
      </c>
      <c r="B27" s="154">
        <f>SUM(B21:B23)</f>
        <v>-11377324</v>
      </c>
      <c r="S27" s="154">
        <f>SUM(S21:S23)</f>
        <v>-11379185</v>
      </c>
      <c r="T27" s="154">
        <f>SUM(T21:T23)</f>
        <v>-11379180</v>
      </c>
      <c r="AB27" s="154">
        <f>S27</f>
        <v>-11379185</v>
      </c>
      <c r="AC27" s="154">
        <f>SUM(AC21:AC26)</f>
        <v>-11379</v>
      </c>
    </row>
    <row r="28" spans="1:29" x14ac:dyDescent="0.2">
      <c r="A28" s="202"/>
    </row>
    <row r="29" spans="1:29" x14ac:dyDescent="0.2">
      <c r="A29" s="205" t="s">
        <v>107</v>
      </c>
      <c r="B29" s="157">
        <v>-264731</v>
      </c>
      <c r="C29" s="154">
        <v>272.75</v>
      </c>
      <c r="E29" s="154">
        <v>-12000</v>
      </c>
      <c r="F29" s="154">
        <v>-7000</v>
      </c>
      <c r="H29" s="154">
        <v>-113512.81</v>
      </c>
      <c r="S29" s="154">
        <f>B29+C29+C30+E29+F29+H29+H30+H31</f>
        <v>-276341.02</v>
      </c>
      <c r="T29" s="154">
        <v>-276344</v>
      </c>
      <c r="U29" s="154">
        <f>S29-T29</f>
        <v>2.9799999999813735</v>
      </c>
      <c r="AB29" s="154">
        <f>S29</f>
        <v>-276341.02</v>
      </c>
      <c r="AC29" s="154">
        <v>-276</v>
      </c>
    </row>
    <row r="30" spans="1:29" x14ac:dyDescent="0.2">
      <c r="A30" s="205"/>
      <c r="B30" s="157"/>
      <c r="C30" s="154">
        <v>-2451</v>
      </c>
      <c r="H30" s="154">
        <v>-147557.96</v>
      </c>
    </row>
    <row r="31" spans="1:29" x14ac:dyDescent="0.2">
      <c r="A31" s="205"/>
      <c r="B31" s="157"/>
      <c r="H31" s="154">
        <v>270639</v>
      </c>
    </row>
    <row r="32" spans="1:29" x14ac:dyDescent="0.2">
      <c r="A32" s="205"/>
      <c r="B32" s="193"/>
      <c r="S32" s="193"/>
      <c r="T32" s="193"/>
      <c r="AB32" s="193"/>
      <c r="AC32" s="193"/>
    </row>
    <row r="33" spans="1:29" x14ac:dyDescent="0.2">
      <c r="A33" s="202" t="s">
        <v>67</v>
      </c>
      <c r="B33" s="154">
        <f>SUM(B27:B32)</f>
        <v>-11642055</v>
      </c>
      <c r="S33" s="154">
        <f>SUM(S27:S32)</f>
        <v>-11655526.02</v>
      </c>
      <c r="T33" s="154">
        <f>SUM(T27:T32)</f>
        <v>-11655524</v>
      </c>
      <c r="U33" s="154">
        <f>S33-T33</f>
        <v>-2.0199999995529652</v>
      </c>
      <c r="AB33" s="154">
        <f>S33</f>
        <v>-11655526.02</v>
      </c>
      <c r="AC33" s="154">
        <f>SUM(AC27:AC32)</f>
        <v>-11655</v>
      </c>
    </row>
    <row r="34" spans="1:29" x14ac:dyDescent="0.2">
      <c r="A34" s="205"/>
    </row>
    <row r="35" spans="1:29" x14ac:dyDescent="0.2">
      <c r="A35" s="207" t="s">
        <v>49</v>
      </c>
      <c r="B35" s="154">
        <v>0</v>
      </c>
    </row>
    <row r="36" spans="1:29" x14ac:dyDescent="0.2">
      <c r="A36" s="205" t="s">
        <v>50</v>
      </c>
      <c r="B36" s="154">
        <v>0</v>
      </c>
    </row>
    <row r="37" spans="1:29" x14ac:dyDescent="0.2">
      <c r="A37" s="205" t="s">
        <v>51</v>
      </c>
      <c r="B37" s="154">
        <v>0</v>
      </c>
    </row>
    <row r="38" spans="1:29" x14ac:dyDescent="0.2">
      <c r="A38" s="205"/>
    </row>
    <row r="39" spans="1:29" ht="13.5" thickBot="1" x14ac:dyDescent="0.25">
      <c r="A39" s="207" t="s">
        <v>67</v>
      </c>
      <c r="B39" s="156">
        <f>SUM(B33:B38)</f>
        <v>-11642055</v>
      </c>
      <c r="S39" s="156">
        <f>SUM(S33:S38)</f>
        <v>-11655526.02</v>
      </c>
      <c r="T39" s="156">
        <f>SUM(T33:T38)</f>
        <v>-11655524</v>
      </c>
    </row>
    <row r="40" spans="1:29" ht="13.5" thickTop="1" x14ac:dyDescent="0.2"/>
  </sheetData>
  <mergeCells count="2">
    <mergeCell ref="C3:H3"/>
    <mergeCell ref="I3:Q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2"/>
  <sheetViews>
    <sheetView workbookViewId="0">
      <selection sqref="A1:AP1"/>
    </sheetView>
  </sheetViews>
  <sheetFormatPr defaultRowHeight="11.25" x14ac:dyDescent="0.2"/>
  <cols>
    <col min="1" max="1" width="33.28515625" style="25" bestFit="1" customWidth="1"/>
    <col min="2" max="2" width="12.85546875" style="50" bestFit="1" customWidth="1"/>
    <col min="3" max="3" width="9.85546875" style="50" bestFit="1" customWidth="1"/>
    <col min="4" max="4" width="14.5703125" style="50" bestFit="1" customWidth="1"/>
    <col min="5" max="6" width="9.85546875" style="50" bestFit="1" customWidth="1"/>
    <col min="7" max="7" width="10.7109375" style="50" bestFit="1" customWidth="1"/>
    <col min="8" max="8" width="3.140625" style="50" customWidth="1"/>
    <col min="9" max="9" width="0" style="50" hidden="1" customWidth="1"/>
    <col min="10" max="10" width="0" style="25" hidden="1" customWidth="1"/>
    <col min="11" max="11" width="1.85546875" style="25" bestFit="1" customWidth="1"/>
    <col min="12" max="12" width="9.140625" style="25"/>
    <col min="13" max="13" width="23.7109375" style="25" bestFit="1" customWidth="1"/>
    <col min="14" max="15" width="10.140625" style="50" bestFit="1" customWidth="1"/>
    <col min="16" max="16" width="2.42578125" style="25" customWidth="1"/>
    <col min="17" max="17" width="1.85546875" style="25" bestFit="1" customWidth="1"/>
    <col min="18" max="18" width="9.140625" style="25"/>
    <col min="19" max="19" width="17" style="25" customWidth="1"/>
    <col min="20" max="20" width="11.140625" style="25" bestFit="1" customWidth="1"/>
    <col min="21" max="21" width="9.85546875" style="25" bestFit="1" customWidth="1"/>
    <col min="22" max="22" width="0.7109375" style="25" customWidth="1"/>
    <col min="23" max="23" width="2.7109375" style="25" bestFit="1" customWidth="1"/>
    <col min="24" max="24" width="5.28515625" style="25" bestFit="1" customWidth="1"/>
    <col min="25" max="25" width="3.5703125" style="25" bestFit="1" customWidth="1"/>
    <col min="26" max="26" width="9.85546875" style="50" bestFit="1" customWidth="1"/>
    <col min="27" max="27" width="9.140625" style="25"/>
    <col min="28" max="28" width="12" style="25" bestFit="1" customWidth="1"/>
    <col min="29" max="16384" width="9.140625" style="25"/>
  </cols>
  <sheetData>
    <row r="1" spans="1:21" x14ac:dyDescent="0.2">
      <c r="L1" s="25" t="s">
        <v>820</v>
      </c>
    </row>
    <row r="2" spans="1:21" x14ac:dyDescent="0.2">
      <c r="E2" s="50">
        <f>E3-F3</f>
        <v>0</v>
      </c>
      <c r="L2" s="25" t="s">
        <v>730</v>
      </c>
    </row>
    <row r="3" spans="1:21" x14ac:dyDescent="0.2">
      <c r="E3" s="50">
        <f>SUM(E7:E107)</f>
        <v>43371341</v>
      </c>
      <c r="F3" s="50">
        <f>SUM(F7:F107)</f>
        <v>43371341</v>
      </c>
      <c r="L3" s="25" t="s">
        <v>31</v>
      </c>
      <c r="N3" s="50">
        <f>N4+T4</f>
        <v>43371341</v>
      </c>
      <c r="O3" s="50">
        <f>O4+U4</f>
        <v>84517423</v>
      </c>
      <c r="T3" s="49">
        <f>T4-U4</f>
        <v>-41146082</v>
      </c>
    </row>
    <row r="4" spans="1:21" x14ac:dyDescent="0.2">
      <c r="N4" s="50">
        <f>SUM(N7:N39)</f>
        <v>1898504</v>
      </c>
      <c r="O4" s="50">
        <f>SUM(O7:O39)</f>
        <v>1898504</v>
      </c>
      <c r="T4" s="50">
        <f>T7+T11+T17+T21+T26+T36</f>
        <v>41472837</v>
      </c>
      <c r="U4" s="50">
        <f>SUM(U8:U108)</f>
        <v>82618919</v>
      </c>
    </row>
    <row r="5" spans="1:21" x14ac:dyDescent="0.2">
      <c r="B5" s="45" t="s">
        <v>346</v>
      </c>
      <c r="E5" s="636" t="s">
        <v>713</v>
      </c>
      <c r="F5" s="636"/>
    </row>
    <row r="6" spans="1:21" x14ac:dyDescent="0.2">
      <c r="B6" s="45" t="s">
        <v>556</v>
      </c>
      <c r="C6" s="45" t="s">
        <v>607</v>
      </c>
      <c r="D6" s="45" t="s">
        <v>730</v>
      </c>
      <c r="E6" s="45" t="s">
        <v>373</v>
      </c>
      <c r="F6" s="45" t="s">
        <v>376</v>
      </c>
    </row>
    <row r="7" spans="1:21" x14ac:dyDescent="0.2">
      <c r="A7" s="64" t="s">
        <v>27</v>
      </c>
      <c r="B7" s="52">
        <v>0</v>
      </c>
      <c r="C7" s="52">
        <v>0</v>
      </c>
      <c r="D7" s="50">
        <v>30104608</v>
      </c>
      <c r="F7" s="50">
        <f>U9+U19+U27</f>
        <v>20643333</v>
      </c>
      <c r="G7" s="167">
        <f>D7-E7+F7</f>
        <v>50747941</v>
      </c>
      <c r="K7" s="25">
        <v>1</v>
      </c>
      <c r="L7" s="25" t="s">
        <v>347</v>
      </c>
      <c r="N7" s="247">
        <v>1880000</v>
      </c>
      <c r="P7" s="244"/>
      <c r="Q7" s="25">
        <v>6</v>
      </c>
      <c r="R7" s="25" t="s">
        <v>774</v>
      </c>
      <c r="T7" s="247">
        <v>1882</v>
      </c>
      <c r="U7" s="50"/>
    </row>
    <row r="8" spans="1:21" x14ac:dyDescent="0.2">
      <c r="A8" s="64" t="s">
        <v>28</v>
      </c>
      <c r="B8" s="209">
        <v>0</v>
      </c>
      <c r="C8" s="209">
        <v>0</v>
      </c>
      <c r="D8" s="66">
        <v>-18442972</v>
      </c>
      <c r="E8" s="50">
        <f>T11+T21+T36</f>
        <v>20829504</v>
      </c>
      <c r="G8" s="252">
        <f>D8-E8+F8</f>
        <v>-39272476</v>
      </c>
      <c r="M8" s="25" t="s">
        <v>755</v>
      </c>
      <c r="O8" s="247">
        <v>1880000</v>
      </c>
      <c r="P8" s="244"/>
      <c r="T8" s="247"/>
      <c r="U8" s="50"/>
    </row>
    <row r="9" spans="1:21" x14ac:dyDescent="0.2">
      <c r="A9" s="33" t="s">
        <v>48</v>
      </c>
      <c r="B9" s="50">
        <f>SUM(B7:B8)</f>
        <v>0</v>
      </c>
      <c r="C9" s="50">
        <f>SUM(C7:C8)</f>
        <v>0</v>
      </c>
      <c r="D9" s="50">
        <f>SUM(D7:D8)</f>
        <v>11661636</v>
      </c>
      <c r="G9" s="50">
        <f>SUM(G7:G8)</f>
        <v>11475465</v>
      </c>
      <c r="P9" s="244"/>
      <c r="S9" s="25" t="s">
        <v>775</v>
      </c>
      <c r="T9" s="247"/>
      <c r="U9" s="247">
        <v>1882</v>
      </c>
    </row>
    <row r="10" spans="1:21" x14ac:dyDescent="0.2">
      <c r="A10" s="64"/>
      <c r="B10" s="52"/>
      <c r="C10" s="52"/>
      <c r="L10" s="25" t="s">
        <v>757</v>
      </c>
      <c r="P10" s="244"/>
      <c r="T10" s="247"/>
      <c r="U10" s="50"/>
    </row>
    <row r="11" spans="1:21" x14ac:dyDescent="0.2">
      <c r="A11" s="64" t="s">
        <v>29</v>
      </c>
      <c r="B11" s="52">
        <v>0</v>
      </c>
      <c r="C11" s="52">
        <v>0</v>
      </c>
      <c r="D11" s="50">
        <v>92</v>
      </c>
      <c r="G11" s="50">
        <f>D11-E11+F11</f>
        <v>92</v>
      </c>
      <c r="P11" s="244"/>
      <c r="R11" s="25" t="s">
        <v>777</v>
      </c>
      <c r="T11" s="247">
        <v>19611</v>
      </c>
      <c r="U11" s="50"/>
    </row>
    <row r="12" spans="1:21" x14ac:dyDescent="0.2">
      <c r="A12" s="55" t="s">
        <v>47</v>
      </c>
      <c r="B12" s="57">
        <v>0</v>
      </c>
      <c r="C12" s="57">
        <v>0</v>
      </c>
      <c r="D12" s="50">
        <v>0</v>
      </c>
      <c r="P12" s="244"/>
      <c r="T12" s="247"/>
      <c r="U12" s="50"/>
    </row>
    <row r="13" spans="1:21" x14ac:dyDescent="0.2">
      <c r="A13" s="64" t="s">
        <v>30</v>
      </c>
      <c r="B13" s="52">
        <v>-1152411</v>
      </c>
      <c r="C13" s="52">
        <v>-1841500</v>
      </c>
      <c r="D13" s="50">
        <v>-2291121</v>
      </c>
      <c r="F13" s="50">
        <f>O20</f>
        <v>13504</v>
      </c>
      <c r="G13" s="50">
        <f>D13-E13+F13+F14</f>
        <v>-2272617</v>
      </c>
      <c r="K13" s="153">
        <v>2</v>
      </c>
      <c r="L13" s="153" t="s">
        <v>799</v>
      </c>
      <c r="M13" s="153"/>
      <c r="N13" s="101"/>
      <c r="O13" s="101"/>
      <c r="P13" s="244"/>
      <c r="S13" s="25" t="s">
        <v>776</v>
      </c>
      <c r="T13" s="247"/>
      <c r="U13" s="247">
        <v>19611</v>
      </c>
    </row>
    <row r="14" spans="1:21" x14ac:dyDescent="0.2">
      <c r="A14" s="64"/>
      <c r="B14" s="52"/>
      <c r="C14" s="52"/>
      <c r="F14" s="50">
        <f>O32</f>
        <v>5000</v>
      </c>
      <c r="L14" s="153"/>
      <c r="M14" s="153" t="s">
        <v>756</v>
      </c>
      <c r="N14" s="101"/>
      <c r="O14" s="101"/>
      <c r="P14" s="244"/>
      <c r="T14" s="247"/>
      <c r="U14" s="50"/>
    </row>
    <row r="15" spans="1:21" x14ac:dyDescent="0.2">
      <c r="A15" s="64"/>
      <c r="B15" s="52"/>
      <c r="C15" s="52"/>
      <c r="P15" s="244"/>
      <c r="T15" s="247"/>
      <c r="U15" s="50"/>
    </row>
    <row r="16" spans="1:21" x14ac:dyDescent="0.2">
      <c r="A16" s="64"/>
      <c r="B16" s="52"/>
      <c r="C16" s="52"/>
      <c r="L16" s="25" t="s">
        <v>758</v>
      </c>
      <c r="P16" s="244"/>
      <c r="T16" s="247"/>
      <c r="U16" s="50"/>
    </row>
    <row r="17" spans="1:21" x14ac:dyDescent="0.2">
      <c r="A17" s="64"/>
      <c r="B17" s="52"/>
      <c r="C17" s="52"/>
      <c r="P17" s="244"/>
      <c r="Q17" s="25">
        <v>7</v>
      </c>
      <c r="R17" s="25" t="s">
        <v>778</v>
      </c>
      <c r="T17" s="247">
        <v>5291</v>
      </c>
      <c r="U17" s="50"/>
    </row>
    <row r="18" spans="1:21" x14ac:dyDescent="0.2">
      <c r="A18" s="64"/>
      <c r="B18" s="209"/>
      <c r="C18" s="209"/>
      <c r="D18" s="66"/>
      <c r="G18" s="66"/>
      <c r="K18" s="25">
        <v>3</v>
      </c>
      <c r="L18" s="25" t="s">
        <v>759</v>
      </c>
      <c r="N18" s="247">
        <v>10398</v>
      </c>
      <c r="P18" s="244"/>
      <c r="T18" s="247"/>
      <c r="U18" s="50"/>
    </row>
    <row r="19" spans="1:21" x14ac:dyDescent="0.2">
      <c r="A19" s="33" t="s">
        <v>106</v>
      </c>
      <c r="B19" s="50">
        <f>SUM(B9:B18)</f>
        <v>-1152411</v>
      </c>
      <c r="C19" s="50">
        <f>SUM(C9:C18)</f>
        <v>-1841500</v>
      </c>
      <c r="D19" s="50">
        <f>SUM(D9:D18)</f>
        <v>9370607</v>
      </c>
      <c r="G19" s="50">
        <f>SUM(G9:G18)</f>
        <v>9202940</v>
      </c>
      <c r="L19" s="25" t="s">
        <v>760</v>
      </c>
      <c r="N19" s="247">
        <v>3106</v>
      </c>
      <c r="P19" s="244"/>
      <c r="S19" s="25" t="s">
        <v>779</v>
      </c>
      <c r="T19" s="247"/>
      <c r="U19" s="247">
        <v>5291</v>
      </c>
    </row>
    <row r="20" spans="1:21" x14ac:dyDescent="0.2">
      <c r="A20" s="33"/>
      <c r="B20" s="53"/>
      <c r="C20" s="53"/>
      <c r="M20" s="25" t="s">
        <v>761</v>
      </c>
      <c r="N20" s="247"/>
      <c r="O20" s="247">
        <v>13504</v>
      </c>
      <c r="P20" s="244"/>
      <c r="T20" s="247"/>
      <c r="U20" s="50"/>
    </row>
    <row r="21" spans="1:21" x14ac:dyDescent="0.2">
      <c r="A21" s="64" t="s">
        <v>3</v>
      </c>
      <c r="B21" s="209">
        <v>-76153</v>
      </c>
      <c r="C21" s="209">
        <v>-163334</v>
      </c>
      <c r="D21" s="66">
        <v>-329091</v>
      </c>
      <c r="G21" s="66">
        <f>D21-E21+F21</f>
        <v>-329091</v>
      </c>
      <c r="N21" s="247"/>
      <c r="P21" s="244"/>
      <c r="R21" s="25" t="s">
        <v>780</v>
      </c>
      <c r="T21" s="247">
        <v>47495</v>
      </c>
      <c r="U21" s="50"/>
    </row>
    <row r="22" spans="1:21" x14ac:dyDescent="0.2">
      <c r="A22" s="38" t="s">
        <v>66</v>
      </c>
      <c r="B22" s="50">
        <f>SUM(B19:B21)</f>
        <v>-1228564</v>
      </c>
      <c r="C22" s="50">
        <f>SUM(C19:C21)</f>
        <v>-2004834</v>
      </c>
      <c r="D22" s="50">
        <f>SUM(D19:D21)</f>
        <v>9041516</v>
      </c>
      <c r="G22" s="50">
        <f>SUM(G19:G21)</f>
        <v>8873849</v>
      </c>
      <c r="L22" s="25" t="s">
        <v>762</v>
      </c>
      <c r="N22" s="247"/>
      <c r="P22" s="244"/>
      <c r="T22" s="50"/>
      <c r="U22" s="247"/>
    </row>
    <row r="23" spans="1:21" x14ac:dyDescent="0.2">
      <c r="A23" s="33"/>
      <c r="B23" s="53"/>
      <c r="C23" s="53"/>
      <c r="N23" s="247"/>
      <c r="P23" s="244"/>
      <c r="S23" s="25" t="s">
        <v>773</v>
      </c>
      <c r="T23" s="50"/>
      <c r="U23" s="247">
        <v>47495</v>
      </c>
    </row>
    <row r="24" spans="1:21" x14ac:dyDescent="0.2">
      <c r="A24" s="55" t="s">
        <v>107</v>
      </c>
      <c r="B24" s="243">
        <v>0</v>
      </c>
      <c r="C24" s="243"/>
      <c r="D24" s="66">
        <v>-1252260</v>
      </c>
      <c r="G24" s="66">
        <f>D24-E24+F24</f>
        <v>-1252260</v>
      </c>
      <c r="K24" s="25">
        <v>4</v>
      </c>
      <c r="L24" s="25" t="s">
        <v>763</v>
      </c>
      <c r="N24" s="247">
        <v>828</v>
      </c>
      <c r="P24" s="244"/>
    </row>
    <row r="25" spans="1:21" x14ac:dyDescent="0.2">
      <c r="A25" s="33" t="s">
        <v>67</v>
      </c>
      <c r="B25" s="50">
        <f>SUM(B22:B24)</f>
        <v>-1228564</v>
      </c>
      <c r="C25" s="50">
        <f>SUM(C22:C24)</f>
        <v>-2004834</v>
      </c>
      <c r="D25" s="50">
        <f>SUM(D22:D24)</f>
        <v>7789256</v>
      </c>
      <c r="G25" s="50">
        <f>SUM(G22:G24)</f>
        <v>7621589</v>
      </c>
      <c r="L25" s="25" t="s">
        <v>764</v>
      </c>
      <c r="N25" s="247">
        <v>244</v>
      </c>
      <c r="P25" s="244"/>
    </row>
    <row r="26" spans="1:21" x14ac:dyDescent="0.2">
      <c r="A26" s="55"/>
      <c r="B26" s="57"/>
      <c r="C26" s="57"/>
      <c r="L26" s="25" t="s">
        <v>765</v>
      </c>
      <c r="N26" s="247">
        <v>404</v>
      </c>
      <c r="P26" s="244"/>
      <c r="Q26" s="25">
        <v>8</v>
      </c>
      <c r="R26" s="25" t="s">
        <v>347</v>
      </c>
      <c r="T26" s="247">
        <v>20636160</v>
      </c>
    </row>
    <row r="27" spans="1:21" x14ac:dyDescent="0.2">
      <c r="A27" s="38" t="s">
        <v>49</v>
      </c>
      <c r="B27" s="60"/>
      <c r="C27" s="60"/>
      <c r="L27" s="25" t="s">
        <v>766</v>
      </c>
      <c r="N27" s="247">
        <v>874</v>
      </c>
      <c r="P27" s="244"/>
      <c r="S27" s="25" t="s">
        <v>788</v>
      </c>
      <c r="U27" s="247">
        <v>20636160</v>
      </c>
    </row>
    <row r="28" spans="1:21" x14ac:dyDescent="0.2">
      <c r="A28" s="55" t="s">
        <v>50</v>
      </c>
      <c r="B28" s="57"/>
      <c r="C28" s="57"/>
      <c r="L28" s="25" t="s">
        <v>767</v>
      </c>
      <c r="N28" s="247">
        <v>1045</v>
      </c>
      <c r="P28" s="244"/>
    </row>
    <row r="29" spans="1:21" x14ac:dyDescent="0.2">
      <c r="A29" s="55" t="s">
        <v>51</v>
      </c>
      <c r="B29" s="57">
        <v>0</v>
      </c>
      <c r="C29" s="57"/>
      <c r="D29" s="50">
        <v>0</v>
      </c>
      <c r="L29" s="25" t="s">
        <v>768</v>
      </c>
      <c r="N29" s="247">
        <v>735</v>
      </c>
      <c r="P29" s="244"/>
      <c r="R29" s="25" t="s">
        <v>821</v>
      </c>
    </row>
    <row r="30" spans="1:21" x14ac:dyDescent="0.2">
      <c r="A30" s="55"/>
      <c r="B30" s="243">
        <v>0</v>
      </c>
      <c r="C30" s="243"/>
      <c r="D30" s="66">
        <v>0</v>
      </c>
      <c r="G30" s="66"/>
      <c r="L30" s="25" t="s">
        <v>769</v>
      </c>
      <c r="N30" s="247">
        <v>435</v>
      </c>
      <c r="P30" s="244"/>
    </row>
    <row r="31" spans="1:21" x14ac:dyDescent="0.2">
      <c r="A31" s="38" t="s">
        <v>67</v>
      </c>
      <c r="B31" s="50">
        <f>SUM(B25:B30)</f>
        <v>-1228564</v>
      </c>
      <c r="C31" s="50">
        <f>SUM(C25:C30)</f>
        <v>-2004834</v>
      </c>
      <c r="D31" s="50">
        <f>SUM(D25:D30)</f>
        <v>7789256</v>
      </c>
      <c r="G31" s="50">
        <f>SUM(G25:G30)</f>
        <v>7621589</v>
      </c>
      <c r="L31" s="25" t="s">
        <v>770</v>
      </c>
      <c r="N31" s="247">
        <v>435</v>
      </c>
      <c r="P31" s="244"/>
      <c r="R31" s="25" t="s">
        <v>818</v>
      </c>
      <c r="T31" s="50">
        <f>32*240*995</f>
        <v>7641600</v>
      </c>
    </row>
    <row r="32" spans="1:21" x14ac:dyDescent="0.2">
      <c r="A32" s="55"/>
      <c r="B32" s="57"/>
      <c r="C32" s="57"/>
      <c r="M32" s="25" t="s">
        <v>798</v>
      </c>
      <c r="O32" s="247">
        <f>SUM(N24:N31)</f>
        <v>5000</v>
      </c>
      <c r="P32" s="244"/>
      <c r="R32" s="25" t="s">
        <v>819</v>
      </c>
      <c r="T32" s="50">
        <f>72*240*752</f>
        <v>12994560</v>
      </c>
    </row>
    <row r="33" spans="1:28" x14ac:dyDescent="0.2">
      <c r="A33" s="55" t="s">
        <v>388</v>
      </c>
      <c r="B33" s="57">
        <v>-1308375</v>
      </c>
      <c r="C33" s="57">
        <v>-2536939</v>
      </c>
      <c r="D33" s="50">
        <v>-4541774</v>
      </c>
      <c r="G33" s="50">
        <f>D33-E33+F33</f>
        <v>-4541774</v>
      </c>
      <c r="P33" s="244"/>
      <c r="T33" s="249">
        <f>SUM(T31:T32)</f>
        <v>20636160</v>
      </c>
      <c r="AB33" s="250"/>
    </row>
    <row r="34" spans="1:28" x14ac:dyDescent="0.2">
      <c r="A34" s="55"/>
      <c r="B34" s="57"/>
      <c r="C34" s="57"/>
      <c r="L34" s="25" t="s">
        <v>771</v>
      </c>
      <c r="P34" s="244"/>
      <c r="AB34" s="162"/>
    </row>
    <row r="35" spans="1:28" x14ac:dyDescent="0.2">
      <c r="B35" s="58">
        <f>SUM(B31:B34)</f>
        <v>-2536939</v>
      </c>
      <c r="C35" s="58">
        <f>SUM(C31:C34)</f>
        <v>-4541773</v>
      </c>
      <c r="D35" s="58">
        <f>SUM(D31:D34)</f>
        <v>3247482</v>
      </c>
      <c r="G35" s="58">
        <f>SUM(G31:G34)</f>
        <v>3079815</v>
      </c>
      <c r="P35" s="244"/>
      <c r="X35" s="50"/>
    </row>
    <row r="36" spans="1:28" x14ac:dyDescent="0.2">
      <c r="K36" s="25">
        <v>5</v>
      </c>
      <c r="L36" s="25" t="s">
        <v>796</v>
      </c>
      <c r="N36" s="247"/>
      <c r="P36" s="244"/>
      <c r="R36" s="25" t="s">
        <v>789</v>
      </c>
      <c r="T36" s="247">
        <v>20762398</v>
      </c>
      <c r="X36" s="50"/>
    </row>
    <row r="37" spans="1:28" x14ac:dyDescent="0.2">
      <c r="M37" s="25" t="s">
        <v>772</v>
      </c>
      <c r="O37" s="247"/>
      <c r="P37" s="244"/>
      <c r="S37" s="25" t="s">
        <v>790</v>
      </c>
      <c r="U37" s="247">
        <v>20762398</v>
      </c>
      <c r="Y37" s="49"/>
    </row>
    <row r="38" spans="1:28" x14ac:dyDescent="0.2">
      <c r="P38" s="244"/>
    </row>
    <row r="39" spans="1:28" x14ac:dyDescent="0.2">
      <c r="B39" s="45" t="s">
        <v>346</v>
      </c>
      <c r="L39" s="25" t="s">
        <v>817</v>
      </c>
      <c r="P39" s="244"/>
      <c r="R39" s="25" t="s">
        <v>797</v>
      </c>
    </row>
    <row r="40" spans="1:28" x14ac:dyDescent="0.2">
      <c r="A40" s="33" t="s">
        <v>33</v>
      </c>
      <c r="B40" s="45" t="s">
        <v>556</v>
      </c>
      <c r="C40" s="45" t="s">
        <v>607</v>
      </c>
      <c r="D40" s="45" t="s">
        <v>730</v>
      </c>
    </row>
    <row r="41" spans="1:28" x14ac:dyDescent="0.2">
      <c r="A41" s="33" t="s">
        <v>42</v>
      </c>
      <c r="T41" s="49">
        <f>T33-T36</f>
        <v>-126238</v>
      </c>
    </row>
    <row r="42" spans="1:28" x14ac:dyDescent="0.2">
      <c r="A42" s="30" t="s">
        <v>8</v>
      </c>
      <c r="B42" s="50">
        <v>937521</v>
      </c>
      <c r="C42" s="50">
        <v>874831</v>
      </c>
      <c r="D42" s="50">
        <v>742888</v>
      </c>
      <c r="G42" s="50">
        <f>D42+E42-F42</f>
        <v>742888</v>
      </c>
    </row>
    <row r="43" spans="1:28" hidden="1" x14ac:dyDescent="0.2">
      <c r="A43" s="34" t="s">
        <v>34</v>
      </c>
      <c r="D43" s="50">
        <v>0</v>
      </c>
      <c r="G43" s="50">
        <f t="shared" ref="G43:G52" si="0">D43+E43-F43</f>
        <v>0</v>
      </c>
    </row>
    <row r="44" spans="1:28" hidden="1" x14ac:dyDescent="0.2">
      <c r="A44" s="30" t="s">
        <v>35</v>
      </c>
      <c r="D44" s="50">
        <v>0</v>
      </c>
      <c r="G44" s="50">
        <f t="shared" si="0"/>
        <v>0</v>
      </c>
    </row>
    <row r="45" spans="1:28" hidden="1" x14ac:dyDescent="0.2">
      <c r="A45" s="30" t="s">
        <v>19</v>
      </c>
      <c r="D45" s="50">
        <v>0</v>
      </c>
      <c r="G45" s="50">
        <f t="shared" si="0"/>
        <v>0</v>
      </c>
    </row>
    <row r="46" spans="1:28" hidden="1" x14ac:dyDescent="0.2">
      <c r="A46" s="34" t="s">
        <v>70</v>
      </c>
      <c r="D46" s="50">
        <v>0</v>
      </c>
      <c r="G46" s="50">
        <f t="shared" si="0"/>
        <v>0</v>
      </c>
    </row>
    <row r="47" spans="1:28" hidden="1" x14ac:dyDescent="0.2">
      <c r="A47" s="34" t="s">
        <v>120</v>
      </c>
      <c r="D47" s="50">
        <v>0</v>
      </c>
      <c r="G47" s="50">
        <f t="shared" si="0"/>
        <v>0</v>
      </c>
    </row>
    <row r="48" spans="1:28" hidden="1" x14ac:dyDescent="0.2">
      <c r="A48" s="55" t="s">
        <v>461</v>
      </c>
      <c r="D48" s="50">
        <v>0</v>
      </c>
      <c r="G48" s="50">
        <f t="shared" si="0"/>
        <v>0</v>
      </c>
    </row>
    <row r="49" spans="1:7" hidden="1" x14ac:dyDescent="0.2">
      <c r="A49" s="34" t="s">
        <v>64</v>
      </c>
      <c r="D49" s="50">
        <v>0</v>
      </c>
      <c r="G49" s="50">
        <f t="shared" si="0"/>
        <v>0</v>
      </c>
    </row>
    <row r="50" spans="1:7" x14ac:dyDescent="0.2">
      <c r="A50" s="55" t="s">
        <v>347</v>
      </c>
      <c r="B50" s="50">
        <v>19790320</v>
      </c>
      <c r="C50" s="50">
        <v>15980113</v>
      </c>
      <c r="D50" s="50">
        <v>27362398</v>
      </c>
      <c r="E50" s="50">
        <f>N7+T26</f>
        <v>22516160</v>
      </c>
      <c r="F50" s="50">
        <f>U37</f>
        <v>20762398</v>
      </c>
      <c r="G50" s="167">
        <f>D50+E50-F50+E51-F51</f>
        <v>29116160</v>
      </c>
    </row>
    <row r="51" spans="1:7" hidden="1" x14ac:dyDescent="0.2">
      <c r="A51" s="55"/>
    </row>
    <row r="52" spans="1:7" hidden="1" x14ac:dyDescent="0.2">
      <c r="A52" s="55" t="s">
        <v>350</v>
      </c>
      <c r="D52" s="50">
        <v>0</v>
      </c>
      <c r="G52" s="50">
        <f t="shared" si="0"/>
        <v>0</v>
      </c>
    </row>
    <row r="53" spans="1:7" hidden="1" x14ac:dyDescent="0.2">
      <c r="A53" s="55"/>
    </row>
    <row r="54" spans="1:7" x14ac:dyDescent="0.2">
      <c r="A54" s="34"/>
    </row>
    <row r="55" spans="1:7" x14ac:dyDescent="0.2">
      <c r="A55" s="30"/>
      <c r="B55" s="58">
        <f>SUM(B42:B54)</f>
        <v>20727841</v>
      </c>
      <c r="C55" s="58">
        <f>SUM(C42:C54)</f>
        <v>16854944</v>
      </c>
      <c r="D55" s="58">
        <f>SUM(D42:D54)</f>
        <v>28105286</v>
      </c>
      <c r="G55" s="58">
        <f>SUM(G42:G54)</f>
        <v>29859048</v>
      </c>
    </row>
    <row r="56" spans="1:7" x14ac:dyDescent="0.2">
      <c r="A56" s="33" t="s">
        <v>40</v>
      </c>
    </row>
    <row r="57" spans="1:7" hidden="1" x14ac:dyDescent="0.2">
      <c r="A57" s="34" t="s">
        <v>90</v>
      </c>
      <c r="D57" s="50">
        <v>0</v>
      </c>
      <c r="G57" s="50">
        <f t="shared" ref="G57:G66" si="1">D57+E57-F57</f>
        <v>0</v>
      </c>
    </row>
    <row r="58" spans="1:7" hidden="1" x14ac:dyDescent="0.2">
      <c r="A58" s="30" t="s">
        <v>9</v>
      </c>
      <c r="D58" s="50">
        <v>0</v>
      </c>
      <c r="G58" s="50">
        <f t="shared" si="1"/>
        <v>0</v>
      </c>
    </row>
    <row r="59" spans="1:7" x14ac:dyDescent="0.2">
      <c r="A59" s="30" t="s">
        <v>10</v>
      </c>
      <c r="D59" s="50">
        <v>12920280</v>
      </c>
      <c r="G59" s="50">
        <f t="shared" si="1"/>
        <v>12920280</v>
      </c>
    </row>
    <row r="60" spans="1:7" x14ac:dyDescent="0.2">
      <c r="A60" s="30" t="s">
        <v>11</v>
      </c>
      <c r="B60" s="50">
        <v>174163</v>
      </c>
      <c r="C60" s="50">
        <v>184933</v>
      </c>
      <c r="D60" s="50">
        <v>4195494</v>
      </c>
      <c r="G60" s="50">
        <f t="shared" si="1"/>
        <v>4195494</v>
      </c>
    </row>
    <row r="61" spans="1:7" hidden="1" x14ac:dyDescent="0.2">
      <c r="A61" s="34" t="s">
        <v>36</v>
      </c>
      <c r="D61" s="50">
        <v>0</v>
      </c>
      <c r="G61" s="50">
        <f t="shared" si="1"/>
        <v>0</v>
      </c>
    </row>
    <row r="62" spans="1:7" hidden="1" x14ac:dyDescent="0.2">
      <c r="A62" s="30" t="s">
        <v>32</v>
      </c>
      <c r="D62" s="50">
        <v>0</v>
      </c>
      <c r="G62" s="50">
        <f t="shared" si="1"/>
        <v>0</v>
      </c>
    </row>
    <row r="63" spans="1:7" hidden="1" x14ac:dyDescent="0.2">
      <c r="A63" s="30" t="s">
        <v>110</v>
      </c>
      <c r="D63" s="50">
        <v>0</v>
      </c>
      <c r="G63" s="50">
        <f t="shared" si="1"/>
        <v>0</v>
      </c>
    </row>
    <row r="64" spans="1:7" x14ac:dyDescent="0.2">
      <c r="A64" s="30" t="s">
        <v>16</v>
      </c>
      <c r="B64" s="50">
        <v>799249</v>
      </c>
      <c r="C64" s="50">
        <v>463138</v>
      </c>
      <c r="D64" s="50">
        <v>15160</v>
      </c>
      <c r="G64" s="50">
        <f t="shared" si="1"/>
        <v>15160</v>
      </c>
    </row>
    <row r="65" spans="1:21" x14ac:dyDescent="0.2">
      <c r="A65" s="64" t="s">
        <v>348</v>
      </c>
      <c r="B65" s="50">
        <v>20140725</v>
      </c>
      <c r="C65" s="50">
        <v>57053938</v>
      </c>
      <c r="D65" s="50">
        <v>60712999</v>
      </c>
      <c r="E65" s="50">
        <f>N18+N19+N24+N25+N26+N27+N28+N29+N30+N31+T7+T17</f>
        <v>25677</v>
      </c>
      <c r="F65" s="50">
        <f>U13+U23</f>
        <v>67106</v>
      </c>
      <c r="G65" s="167">
        <f t="shared" si="1"/>
        <v>60671570</v>
      </c>
    </row>
    <row r="66" spans="1:21" x14ac:dyDescent="0.2">
      <c r="A66" s="34" t="s">
        <v>65</v>
      </c>
      <c r="D66" s="50">
        <v>0</v>
      </c>
      <c r="G66" s="50">
        <f t="shared" si="1"/>
        <v>0</v>
      </c>
    </row>
    <row r="67" spans="1:21" hidden="1" x14ac:dyDescent="0.2">
      <c r="A67" s="30"/>
      <c r="B67" s="58">
        <f>SUM(B57:B66)</f>
        <v>21114137</v>
      </c>
      <c r="C67" s="58">
        <f>SUM(C57:C66)</f>
        <v>57702009</v>
      </c>
      <c r="D67" s="58">
        <f>SUM(D57:D66)</f>
        <v>77843933</v>
      </c>
      <c r="G67" s="58">
        <f>SUM(G57:G66)</f>
        <v>77802504</v>
      </c>
    </row>
    <row r="68" spans="1:21" hidden="1" x14ac:dyDescent="0.2">
      <c r="A68" s="55" t="s">
        <v>91</v>
      </c>
    </row>
    <row r="69" spans="1:21" hidden="1" x14ac:dyDescent="0.2">
      <c r="A69" s="34" t="s">
        <v>92</v>
      </c>
      <c r="D69" s="50">
        <v>0</v>
      </c>
      <c r="G69" s="50">
        <f>D69+E69-F69</f>
        <v>0</v>
      </c>
    </row>
    <row r="70" spans="1:21" hidden="1" x14ac:dyDescent="0.2">
      <c r="A70" s="34"/>
    </row>
    <row r="71" spans="1:21" x14ac:dyDescent="0.2">
      <c r="A71" s="34"/>
      <c r="B71" s="58">
        <f>SUM(B67:B70)</f>
        <v>21114137</v>
      </c>
      <c r="C71" s="58">
        <f>SUM(C67:C70)</f>
        <v>57702009</v>
      </c>
      <c r="D71" s="58">
        <f>SUM(D67:D70)</f>
        <v>77843933</v>
      </c>
      <c r="G71" s="58">
        <f>SUM(G67:G70)</f>
        <v>77802504</v>
      </c>
      <c r="S71" s="25">
        <v>267</v>
      </c>
      <c r="U71" s="50"/>
    </row>
    <row r="72" spans="1:21" ht="12" thickBot="1" x14ac:dyDescent="0.25">
      <c r="A72" s="33" t="s">
        <v>38</v>
      </c>
      <c r="B72" s="59">
        <f>B55+B71</f>
        <v>41841978</v>
      </c>
      <c r="C72" s="59">
        <f>C55+C71</f>
        <v>74556953</v>
      </c>
      <c r="D72" s="59">
        <f>D55+D71</f>
        <v>105949219</v>
      </c>
      <c r="G72" s="59">
        <f>G55+G71</f>
        <v>107661552</v>
      </c>
      <c r="S72" s="25">
        <v>0.9</v>
      </c>
      <c r="U72" s="50"/>
    </row>
    <row r="73" spans="1:21" ht="12" thickTop="1" x14ac:dyDescent="0.2">
      <c r="A73" s="30"/>
      <c r="S73" s="25">
        <f>S71*S72</f>
        <v>240.3</v>
      </c>
      <c r="U73" s="50"/>
    </row>
    <row r="74" spans="1:21" x14ac:dyDescent="0.2">
      <c r="A74" s="33" t="s">
        <v>37</v>
      </c>
      <c r="R74" s="25">
        <v>32</v>
      </c>
      <c r="S74" s="25">
        <v>240</v>
      </c>
      <c r="T74" s="25">
        <v>995</v>
      </c>
      <c r="U74" s="50">
        <f>R74*S74*T74</f>
        <v>7641600</v>
      </c>
    </row>
    <row r="75" spans="1:21" x14ac:dyDescent="0.2">
      <c r="A75" s="33" t="s">
        <v>58</v>
      </c>
      <c r="R75" s="25">
        <v>72</v>
      </c>
      <c r="S75" s="25">
        <v>240</v>
      </c>
      <c r="T75" s="25">
        <v>752</v>
      </c>
      <c r="U75" s="50">
        <f>R75*S75*T75</f>
        <v>12994560</v>
      </c>
    </row>
    <row r="76" spans="1:21" x14ac:dyDescent="0.2">
      <c r="A76" s="33" t="s">
        <v>57</v>
      </c>
      <c r="U76" s="50">
        <f>SUM(U74:U75)</f>
        <v>20636160</v>
      </c>
    </row>
    <row r="77" spans="1:21" x14ac:dyDescent="0.2">
      <c r="A77" s="30" t="s">
        <v>14</v>
      </c>
      <c r="B77" s="50">
        <v>2000000</v>
      </c>
      <c r="C77" s="50">
        <v>2000000</v>
      </c>
      <c r="D77" s="50">
        <v>2000000</v>
      </c>
      <c r="G77" s="50">
        <f>D77-E77+F77</f>
        <v>2000000</v>
      </c>
      <c r="S77" s="50"/>
      <c r="U77" s="50">
        <f>U76-T36</f>
        <v>-126238</v>
      </c>
    </row>
    <row r="78" spans="1:21" hidden="1" x14ac:dyDescent="0.2">
      <c r="A78" s="30" t="s">
        <v>111</v>
      </c>
      <c r="D78" s="50">
        <v>0</v>
      </c>
      <c r="G78" s="50">
        <f t="shared" ref="G78:G84" si="2">D78-E78+F78</f>
        <v>0</v>
      </c>
    </row>
    <row r="79" spans="1:21" hidden="1" x14ac:dyDescent="0.2">
      <c r="A79" s="30" t="s">
        <v>25</v>
      </c>
      <c r="D79" s="50">
        <v>0</v>
      </c>
      <c r="G79" s="50">
        <f t="shared" si="2"/>
        <v>0</v>
      </c>
    </row>
    <row r="80" spans="1:21" hidden="1" x14ac:dyDescent="0.2">
      <c r="A80" s="34" t="s">
        <v>71</v>
      </c>
      <c r="D80" s="50">
        <v>0</v>
      </c>
      <c r="G80" s="50">
        <f t="shared" si="2"/>
        <v>0</v>
      </c>
    </row>
    <row r="81" spans="1:7" hidden="1" x14ac:dyDescent="0.2">
      <c r="A81" s="55" t="s">
        <v>226</v>
      </c>
      <c r="D81" s="50">
        <v>0</v>
      </c>
      <c r="G81" s="50">
        <f t="shared" si="2"/>
        <v>0</v>
      </c>
    </row>
    <row r="82" spans="1:7" x14ac:dyDescent="0.2">
      <c r="A82" s="30" t="s">
        <v>39</v>
      </c>
      <c r="B82" s="50">
        <f>B35</f>
        <v>-2536939</v>
      </c>
      <c r="C82" s="50">
        <f>C35</f>
        <v>-4541773</v>
      </c>
      <c r="D82" s="50">
        <v>-4541774</v>
      </c>
      <c r="G82" s="50">
        <f t="shared" si="2"/>
        <v>-4541774</v>
      </c>
    </row>
    <row r="83" spans="1:7" x14ac:dyDescent="0.2">
      <c r="A83" s="30"/>
      <c r="D83" s="50">
        <v>7789256</v>
      </c>
      <c r="G83" s="50">
        <f>G31</f>
        <v>7621589</v>
      </c>
    </row>
    <row r="84" spans="1:7" hidden="1" x14ac:dyDescent="0.2">
      <c r="A84" s="64" t="s">
        <v>361</v>
      </c>
      <c r="D84" s="50">
        <v>0</v>
      </c>
      <c r="G84" s="50">
        <f t="shared" si="2"/>
        <v>0</v>
      </c>
    </row>
    <row r="85" spans="1:7" hidden="1" x14ac:dyDescent="0.2">
      <c r="A85" s="64"/>
    </row>
    <row r="86" spans="1:7" x14ac:dyDescent="0.2">
      <c r="A86" s="38" t="s">
        <v>41</v>
      </c>
      <c r="B86" s="58">
        <f>SUM(B77:B85)</f>
        <v>-536939</v>
      </c>
      <c r="C86" s="58">
        <f>SUM(C77:C85)</f>
        <v>-2541773</v>
      </c>
      <c r="D86" s="58">
        <f>SUM(D77:D85)</f>
        <v>5247482</v>
      </c>
      <c r="G86" s="58">
        <f>SUM(G77:G85)</f>
        <v>5079815</v>
      </c>
    </row>
    <row r="87" spans="1:7" x14ac:dyDescent="0.2">
      <c r="A87" s="38"/>
    </row>
    <row r="88" spans="1:7" x14ac:dyDescent="0.2">
      <c r="A88" s="38" t="s">
        <v>23</v>
      </c>
    </row>
    <row r="89" spans="1:7" x14ac:dyDescent="0.2">
      <c r="A89" s="34" t="s">
        <v>18</v>
      </c>
      <c r="B89" s="50">
        <v>13528660</v>
      </c>
      <c r="C89" s="50">
        <v>22285917</v>
      </c>
      <c r="D89" s="50">
        <v>35674442</v>
      </c>
      <c r="G89" s="50">
        <f>D89-E89+F89</f>
        <v>35674442</v>
      </c>
    </row>
    <row r="90" spans="1:7" hidden="1" x14ac:dyDescent="0.2">
      <c r="A90" s="34" t="s">
        <v>22</v>
      </c>
      <c r="D90" s="50">
        <v>0</v>
      </c>
      <c r="G90" s="50">
        <f>D90-E90+F90</f>
        <v>0</v>
      </c>
    </row>
    <row r="91" spans="1:7" hidden="1" x14ac:dyDescent="0.2">
      <c r="A91" s="34" t="s">
        <v>21</v>
      </c>
      <c r="D91" s="50">
        <v>0</v>
      </c>
      <c r="G91" s="50">
        <f>D91-E91+F91</f>
        <v>0</v>
      </c>
    </row>
    <row r="92" spans="1:7" hidden="1" x14ac:dyDescent="0.2">
      <c r="A92" s="34"/>
    </row>
    <row r="93" spans="1:7" x14ac:dyDescent="0.2">
      <c r="A93" s="30"/>
      <c r="B93" s="58">
        <f>SUM(B89:B92)</f>
        <v>13528660</v>
      </c>
      <c r="C93" s="58">
        <f>SUM(C89:C92)</f>
        <v>22285917</v>
      </c>
      <c r="D93" s="58">
        <f>SUM(D89:D92)</f>
        <v>35674442</v>
      </c>
      <c r="G93" s="58">
        <f>SUM(G89:G92)</f>
        <v>35674442</v>
      </c>
    </row>
    <row r="94" spans="1:7" x14ac:dyDescent="0.2">
      <c r="A94" s="30"/>
    </row>
    <row r="95" spans="1:7" x14ac:dyDescent="0.2">
      <c r="A95" s="33" t="s">
        <v>43</v>
      </c>
    </row>
    <row r="96" spans="1:7" x14ac:dyDescent="0.2">
      <c r="A96" s="30" t="s">
        <v>18</v>
      </c>
      <c r="B96" s="50">
        <v>2121591</v>
      </c>
      <c r="C96" s="50">
        <v>6142004</v>
      </c>
      <c r="D96" s="50">
        <v>1925899</v>
      </c>
      <c r="G96" s="50">
        <f>D96-E96+F96</f>
        <v>1925899</v>
      </c>
    </row>
    <row r="97" spans="1:7" x14ac:dyDescent="0.2">
      <c r="A97" s="30" t="s">
        <v>12</v>
      </c>
      <c r="B97" s="50">
        <v>26728666</v>
      </c>
      <c r="C97" s="50">
        <v>48670805</v>
      </c>
      <c r="D97" s="50">
        <v>25088006</v>
      </c>
      <c r="G97" s="50">
        <f>D97-E97+F97</f>
        <v>25088006</v>
      </c>
    </row>
    <row r="98" spans="1:7" x14ac:dyDescent="0.2">
      <c r="A98" s="64" t="s">
        <v>13</v>
      </c>
      <c r="D98" s="50">
        <v>3331784</v>
      </c>
      <c r="F98" s="50">
        <f>O8</f>
        <v>1880000</v>
      </c>
      <c r="G98" s="50">
        <f>D98-E98+F98</f>
        <v>5211784</v>
      </c>
    </row>
    <row r="99" spans="1:7" x14ac:dyDescent="0.2">
      <c r="A99" s="30" t="s">
        <v>20</v>
      </c>
      <c r="D99" s="50">
        <v>0</v>
      </c>
      <c r="G99" s="50">
        <f>D99-E99+F99</f>
        <v>0</v>
      </c>
    </row>
    <row r="100" spans="1:7" x14ac:dyDescent="0.2">
      <c r="A100" s="34" t="s">
        <v>65</v>
      </c>
      <c r="D100" s="50">
        <v>34681606</v>
      </c>
      <c r="G100" s="50">
        <f>D100-E100+F100</f>
        <v>34681606</v>
      </c>
    </row>
    <row r="101" spans="1:7" x14ac:dyDescent="0.2">
      <c r="A101" s="34"/>
    </row>
    <row r="102" spans="1:7" x14ac:dyDescent="0.2">
      <c r="A102" s="34"/>
      <c r="B102" s="58">
        <f>SUM(B96:B101)</f>
        <v>28850257</v>
      </c>
      <c r="C102" s="58">
        <f>SUM(C96:C101)</f>
        <v>54812809</v>
      </c>
      <c r="D102" s="58">
        <f>SUM(D96:D101)</f>
        <v>65027295</v>
      </c>
      <c r="G102" s="58">
        <f>SUM(G96:G101)</f>
        <v>66907295</v>
      </c>
    </row>
    <row r="103" spans="1:7" hidden="1" x14ac:dyDescent="0.2">
      <c r="A103" s="34" t="s">
        <v>93</v>
      </c>
    </row>
    <row r="104" spans="1:7" hidden="1" x14ac:dyDescent="0.2">
      <c r="A104" s="34" t="s">
        <v>94</v>
      </c>
      <c r="D104" s="50">
        <v>0</v>
      </c>
    </row>
    <row r="105" spans="1:7" hidden="1" x14ac:dyDescent="0.2">
      <c r="A105" s="34"/>
    </row>
    <row r="106" spans="1:7" x14ac:dyDescent="0.2">
      <c r="A106" s="38" t="s">
        <v>44</v>
      </c>
      <c r="B106" s="58">
        <f>B93+B102</f>
        <v>42378917</v>
      </c>
      <c r="C106" s="58">
        <f>C93+C102</f>
        <v>77098726</v>
      </c>
      <c r="D106" s="58">
        <f>D93+D102</f>
        <v>100701737</v>
      </c>
      <c r="G106" s="58">
        <f>G93+G102</f>
        <v>102581737</v>
      </c>
    </row>
    <row r="107" spans="1:7" ht="12" thickBot="1" x14ac:dyDescent="0.25">
      <c r="A107" s="38" t="s">
        <v>45</v>
      </c>
      <c r="B107" s="59">
        <f>B86+B106</f>
        <v>41841978</v>
      </c>
      <c r="C107" s="59">
        <f>C86+C106</f>
        <v>74556953</v>
      </c>
      <c r="D107" s="59">
        <f>D86+D106</f>
        <v>105949219</v>
      </c>
      <c r="G107" s="59">
        <f>G86+G106</f>
        <v>107661552</v>
      </c>
    </row>
    <row r="108" spans="1:7" ht="12" thickTop="1" x14ac:dyDescent="0.2">
      <c r="B108" s="50">
        <f>B72-B107</f>
        <v>0</v>
      </c>
      <c r="C108" s="50">
        <f>C72-C107</f>
        <v>0</v>
      </c>
      <c r="D108" s="50">
        <f>D72-D107</f>
        <v>0</v>
      </c>
      <c r="G108" s="50">
        <f>G72-G107</f>
        <v>0</v>
      </c>
    </row>
    <row r="112" spans="1:7" x14ac:dyDescent="0.2">
      <c r="A112" s="25" t="s">
        <v>803</v>
      </c>
    </row>
    <row r="113" spans="1:3" x14ac:dyDescent="0.2">
      <c r="A113" s="25" t="s">
        <v>800</v>
      </c>
    </row>
    <row r="115" spans="1:3" x14ac:dyDescent="0.2">
      <c r="A115" s="25" t="s">
        <v>107</v>
      </c>
      <c r="B115" s="162">
        <v>272493</v>
      </c>
      <c r="C115" s="162"/>
    </row>
    <row r="116" spans="1:3" x14ac:dyDescent="0.2">
      <c r="A116" s="25" t="s">
        <v>801</v>
      </c>
      <c r="B116" s="162"/>
      <c r="C116" s="162">
        <v>272493</v>
      </c>
    </row>
    <row r="117" spans="1:3" x14ac:dyDescent="0.2">
      <c r="B117" s="162"/>
      <c r="C117" s="162"/>
    </row>
    <row r="118" spans="1:3" x14ac:dyDescent="0.2">
      <c r="A118" s="25" t="s">
        <v>802</v>
      </c>
      <c r="B118" s="162"/>
      <c r="C118" s="162"/>
    </row>
    <row r="119" spans="1:3" x14ac:dyDescent="0.2">
      <c r="B119" s="162"/>
      <c r="C119" s="162"/>
    </row>
    <row r="120" spans="1:3" x14ac:dyDescent="0.2">
      <c r="B120" s="162"/>
      <c r="C120" s="162"/>
    </row>
    <row r="121" spans="1:3" x14ac:dyDescent="0.2">
      <c r="A121" s="25" t="s">
        <v>804</v>
      </c>
      <c r="B121" s="162"/>
      <c r="C121" s="162"/>
    </row>
    <row r="122" spans="1:3" x14ac:dyDescent="0.2">
      <c r="B122" s="162"/>
      <c r="C122" s="162"/>
    </row>
    <row r="123" spans="1:3" x14ac:dyDescent="0.2">
      <c r="A123" s="25" t="s">
        <v>805</v>
      </c>
      <c r="B123" s="162">
        <v>14215.48</v>
      </c>
      <c r="C123" s="162"/>
    </row>
    <row r="124" spans="1:3" x14ac:dyDescent="0.2">
      <c r="A124" s="25" t="s">
        <v>806</v>
      </c>
      <c r="B124" s="162"/>
      <c r="C124" s="162">
        <v>14215.48</v>
      </c>
    </row>
    <row r="125" spans="1:3" x14ac:dyDescent="0.2">
      <c r="B125" s="162"/>
      <c r="C125" s="162"/>
    </row>
    <row r="126" spans="1:3" x14ac:dyDescent="0.2">
      <c r="A126" s="25" t="s">
        <v>807</v>
      </c>
      <c r="B126" s="162"/>
      <c r="C126" s="162"/>
    </row>
    <row r="127" spans="1:3" x14ac:dyDescent="0.2">
      <c r="B127" s="162"/>
      <c r="C127" s="162"/>
    </row>
    <row r="128" spans="1:3" x14ac:dyDescent="0.2">
      <c r="B128" s="162"/>
      <c r="C128" s="162"/>
    </row>
    <row r="129" spans="1:3" x14ac:dyDescent="0.2">
      <c r="A129" s="25" t="s">
        <v>808</v>
      </c>
      <c r="B129" s="162">
        <v>50768.800000000003</v>
      </c>
      <c r="C129" s="162"/>
    </row>
    <row r="130" spans="1:3" x14ac:dyDescent="0.2">
      <c r="A130" s="25" t="s">
        <v>542</v>
      </c>
      <c r="B130" s="162"/>
      <c r="C130" s="162">
        <v>50768.800000000003</v>
      </c>
    </row>
    <row r="131" spans="1:3" x14ac:dyDescent="0.2">
      <c r="B131" s="162"/>
      <c r="C131" s="162"/>
    </row>
    <row r="132" spans="1:3" x14ac:dyDescent="0.2">
      <c r="A132" s="25" t="s">
        <v>809</v>
      </c>
      <c r="B132" s="162"/>
      <c r="C132" s="162"/>
    </row>
    <row r="133" spans="1:3" x14ac:dyDescent="0.2">
      <c r="B133" s="162"/>
      <c r="C133" s="162"/>
    </row>
    <row r="134" spans="1:3" x14ac:dyDescent="0.2">
      <c r="B134" s="162"/>
      <c r="C134" s="162"/>
    </row>
    <row r="135" spans="1:3" x14ac:dyDescent="0.2">
      <c r="A135" s="25" t="s">
        <v>811</v>
      </c>
      <c r="B135" s="162">
        <v>9000</v>
      </c>
      <c r="C135" s="162"/>
    </row>
    <row r="136" spans="1:3" x14ac:dyDescent="0.2">
      <c r="A136" s="25" t="s">
        <v>812</v>
      </c>
      <c r="B136" s="162"/>
      <c r="C136" s="162">
        <v>9000</v>
      </c>
    </row>
    <row r="137" spans="1:3" x14ac:dyDescent="0.2">
      <c r="B137" s="162"/>
      <c r="C137" s="162"/>
    </row>
    <row r="138" spans="1:3" x14ac:dyDescent="0.2">
      <c r="A138" s="25" t="s">
        <v>810</v>
      </c>
      <c r="B138" s="162"/>
      <c r="C138" s="162"/>
    </row>
    <row r="139" spans="1:3" x14ac:dyDescent="0.2">
      <c r="B139" s="162"/>
      <c r="C139" s="162"/>
    </row>
    <row r="140" spans="1:3" x14ac:dyDescent="0.2">
      <c r="B140" s="162"/>
      <c r="C140" s="162"/>
    </row>
    <row r="141" spans="1:3" x14ac:dyDescent="0.2">
      <c r="A141" s="25" t="s">
        <v>813</v>
      </c>
      <c r="B141" s="162">
        <v>9000</v>
      </c>
      <c r="C141" s="162"/>
    </row>
    <row r="142" spans="1:3" x14ac:dyDescent="0.2">
      <c r="A142" s="25" t="s">
        <v>812</v>
      </c>
      <c r="B142" s="162"/>
      <c r="C142" s="162">
        <v>9000</v>
      </c>
    </row>
    <row r="143" spans="1:3" x14ac:dyDescent="0.2">
      <c r="B143" s="162"/>
      <c r="C143" s="162"/>
    </row>
    <row r="144" spans="1:3" x14ac:dyDescent="0.2">
      <c r="B144" s="162"/>
      <c r="C144" s="162"/>
    </row>
    <row r="145" spans="2:3" x14ac:dyDescent="0.2">
      <c r="B145" s="162"/>
      <c r="C145" s="162"/>
    </row>
    <row r="146" spans="2:3" x14ac:dyDescent="0.2">
      <c r="B146" s="162"/>
      <c r="C146" s="162"/>
    </row>
    <row r="147" spans="2:3" x14ac:dyDescent="0.2">
      <c r="B147" s="162"/>
      <c r="C147" s="162"/>
    </row>
    <row r="148" spans="2:3" x14ac:dyDescent="0.2">
      <c r="B148" s="162"/>
      <c r="C148" s="162"/>
    </row>
    <row r="149" spans="2:3" x14ac:dyDescent="0.2">
      <c r="B149" s="162"/>
      <c r="C149" s="162"/>
    </row>
    <row r="150" spans="2:3" x14ac:dyDescent="0.2">
      <c r="B150" s="162"/>
      <c r="C150" s="162"/>
    </row>
    <row r="151" spans="2:3" x14ac:dyDescent="0.2">
      <c r="B151" s="162"/>
      <c r="C151" s="162"/>
    </row>
    <row r="152" spans="2:3" x14ac:dyDescent="0.2">
      <c r="B152" s="162"/>
      <c r="C152" s="162"/>
    </row>
  </sheetData>
  <mergeCells count="1">
    <mergeCell ref="E5:F5"/>
  </mergeCells>
  <pageMargins left="0.31496062992125984" right="0.35433070866141736" top="0.27559055118110237" bottom="0.27559055118110237" header="0.19685039370078741" footer="0.19685039370078741"/>
  <pageSetup paperSize="8"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40"/>
  <sheetViews>
    <sheetView workbookViewId="0">
      <selection sqref="A1:AP1"/>
    </sheetView>
  </sheetViews>
  <sheetFormatPr defaultRowHeight="12.75" x14ac:dyDescent="0.2"/>
  <cols>
    <col min="1" max="1" width="24.140625" bestFit="1" customWidth="1"/>
    <col min="2" max="2" width="15.5703125" bestFit="1" customWidth="1"/>
    <col min="3" max="3" width="11.85546875" bestFit="1" customWidth="1"/>
    <col min="4" max="4" width="10.85546875" bestFit="1" customWidth="1"/>
    <col min="5" max="5" width="9.28515625" bestFit="1" customWidth="1"/>
    <col min="6" max="6" width="15" bestFit="1" customWidth="1"/>
    <col min="7" max="7" width="9.85546875" bestFit="1" customWidth="1"/>
    <col min="8" max="8" width="1.42578125" customWidth="1"/>
    <col min="9" max="9" width="9.28515625" bestFit="1" customWidth="1"/>
    <col min="10" max="10" width="6.85546875" bestFit="1" customWidth="1"/>
    <col min="11" max="11" width="8.42578125" bestFit="1" customWidth="1"/>
  </cols>
  <sheetData>
    <row r="3" spans="1:13" x14ac:dyDescent="0.2">
      <c r="G3" s="177" t="s">
        <v>669</v>
      </c>
      <c r="L3" s="177" t="s">
        <v>669</v>
      </c>
      <c r="M3" s="180" t="s">
        <v>617</v>
      </c>
    </row>
    <row r="4" spans="1:13" x14ac:dyDescent="0.2">
      <c r="C4" s="8" t="s">
        <v>616</v>
      </c>
      <c r="D4" s="177" t="s">
        <v>672</v>
      </c>
      <c r="E4" s="177" t="s">
        <v>673</v>
      </c>
      <c r="G4" s="178" t="s">
        <v>616</v>
      </c>
      <c r="I4" s="177" t="s">
        <v>607</v>
      </c>
      <c r="J4" s="177" t="s">
        <v>672</v>
      </c>
      <c r="K4" s="177" t="s">
        <v>673</v>
      </c>
      <c r="L4" s="178" t="s">
        <v>607</v>
      </c>
      <c r="M4" s="181">
        <v>2013</v>
      </c>
    </row>
    <row r="5" spans="1:13" x14ac:dyDescent="0.2">
      <c r="A5" s="33" t="s">
        <v>46</v>
      </c>
    </row>
    <row r="6" spans="1:13" x14ac:dyDescent="0.2">
      <c r="A6" s="64" t="s">
        <v>27</v>
      </c>
      <c r="B6" s="168">
        <v>121604273.56999999</v>
      </c>
      <c r="C6" s="18">
        <v>121604</v>
      </c>
      <c r="D6" s="18">
        <v>4874323</v>
      </c>
      <c r="E6" s="18">
        <f>305300</f>
        <v>305300</v>
      </c>
      <c r="F6" s="174">
        <f>B6+D6+E6</f>
        <v>126783896.56999999</v>
      </c>
      <c r="G6" s="18">
        <v>126784</v>
      </c>
      <c r="I6" s="18">
        <v>151900</v>
      </c>
      <c r="J6">
        <v>5739</v>
      </c>
      <c r="K6">
        <f>390+7</f>
        <v>397</v>
      </c>
      <c r="L6" s="19">
        <f>I6+J6+K6</f>
        <v>158036</v>
      </c>
      <c r="M6" s="19">
        <f>L6-G6</f>
        <v>31252</v>
      </c>
    </row>
    <row r="7" spans="1:13" x14ac:dyDescent="0.2">
      <c r="A7" s="64" t="s">
        <v>28</v>
      </c>
      <c r="B7" s="169">
        <v>-122048162.48999999</v>
      </c>
      <c r="C7" s="171">
        <v>-122048</v>
      </c>
      <c r="D7" s="19"/>
      <c r="E7" s="19"/>
      <c r="F7" s="175">
        <f>B7+D7+E7</f>
        <v>-122048162.48999999</v>
      </c>
      <c r="G7" s="171">
        <v>-122048</v>
      </c>
      <c r="I7" s="171">
        <v>-152395</v>
      </c>
      <c r="L7" s="179">
        <f>I7+J7+K7</f>
        <v>-152395</v>
      </c>
      <c r="M7" s="179">
        <f>L7-G7</f>
        <v>-30347</v>
      </c>
    </row>
    <row r="8" spans="1:13" x14ac:dyDescent="0.2">
      <c r="A8" s="33" t="s">
        <v>48</v>
      </c>
      <c r="B8" s="168">
        <f>SUM(B6:B7)</f>
        <v>-443888.92000000179</v>
      </c>
      <c r="C8" s="18">
        <v>-444</v>
      </c>
      <c r="D8" s="19"/>
      <c r="E8" s="19"/>
      <c r="F8" s="168">
        <f>SUM(F6:F7)</f>
        <v>4735734.0799999982</v>
      </c>
      <c r="G8" s="168">
        <f>SUM(G6:G7)</f>
        <v>4736</v>
      </c>
      <c r="I8" s="18">
        <f>SUM(I6:I7)</f>
        <v>-495</v>
      </c>
      <c r="L8" s="18">
        <f>SUM(L6:L7)</f>
        <v>5641</v>
      </c>
      <c r="M8" s="18">
        <f>SUM(M6:M7)</f>
        <v>905</v>
      </c>
    </row>
    <row r="9" spans="1:13" x14ac:dyDescent="0.2">
      <c r="A9" s="64"/>
      <c r="B9" s="168"/>
      <c r="C9" s="18"/>
      <c r="D9" s="19"/>
      <c r="E9" s="19"/>
      <c r="G9" s="18"/>
      <c r="I9" s="18"/>
    </row>
    <row r="10" spans="1:13" x14ac:dyDescent="0.2">
      <c r="A10" s="64" t="s">
        <v>29</v>
      </c>
      <c r="B10" s="168">
        <v>10036487</v>
      </c>
      <c r="C10" s="18">
        <v>10037</v>
      </c>
      <c r="D10" s="18">
        <v>-4874323</v>
      </c>
      <c r="E10" s="18">
        <f>-305300</f>
        <v>-305300</v>
      </c>
      <c r="F10" s="174">
        <f>B10+D10+E10</f>
        <v>4856864</v>
      </c>
      <c r="G10" s="18">
        <v>4857</v>
      </c>
      <c r="I10" s="18">
        <v>10212</v>
      </c>
      <c r="J10">
        <v>-5739</v>
      </c>
      <c r="K10">
        <f>-390-7</f>
        <v>-397</v>
      </c>
      <c r="L10" s="19">
        <f>I10+J10+K10</f>
        <v>4076</v>
      </c>
      <c r="M10" s="19">
        <f>L10-G10</f>
        <v>-781</v>
      </c>
    </row>
    <row r="11" spans="1:13" x14ac:dyDescent="0.2">
      <c r="A11" s="55" t="s">
        <v>47</v>
      </c>
      <c r="B11" s="168">
        <v>-3909546</v>
      </c>
      <c r="C11" s="18">
        <v>-3910</v>
      </c>
      <c r="F11" s="174">
        <f>B11+D11+E11</f>
        <v>-3909546</v>
      </c>
      <c r="G11" s="18">
        <v>-3910</v>
      </c>
      <c r="I11" s="18">
        <v>-4996</v>
      </c>
      <c r="L11" s="19">
        <f>I11+J11+K11</f>
        <v>-4996</v>
      </c>
      <c r="M11" s="19">
        <f>L11-G11</f>
        <v>-1086</v>
      </c>
    </row>
    <row r="12" spans="1:13" x14ac:dyDescent="0.2">
      <c r="A12" s="64" t="s">
        <v>30</v>
      </c>
      <c r="B12" s="168">
        <v>-11027454</v>
      </c>
      <c r="C12" s="18">
        <v>-11027</v>
      </c>
      <c r="F12" s="174">
        <f>B12+D12+E12</f>
        <v>-11027454</v>
      </c>
      <c r="G12" s="18">
        <v>-11027</v>
      </c>
      <c r="I12" s="18">
        <v>-13255</v>
      </c>
      <c r="L12" s="19">
        <f>I12+J12+K12</f>
        <v>-13255</v>
      </c>
      <c r="M12" s="19">
        <f>L12-G12</f>
        <v>-2228</v>
      </c>
    </row>
    <row r="13" spans="1:13" x14ac:dyDescent="0.2">
      <c r="A13" s="64"/>
      <c r="B13" s="168"/>
      <c r="C13" s="18"/>
      <c r="G13" s="18"/>
      <c r="I13" s="18"/>
    </row>
    <row r="14" spans="1:13" x14ac:dyDescent="0.2">
      <c r="A14" s="64"/>
      <c r="B14" s="168"/>
      <c r="C14" s="18"/>
      <c r="G14" s="18"/>
      <c r="I14" s="18"/>
    </row>
    <row r="15" spans="1:13" x14ac:dyDescent="0.2">
      <c r="A15" s="64"/>
      <c r="B15" s="168"/>
      <c r="C15" s="18"/>
      <c r="G15" s="18"/>
      <c r="I15" s="18"/>
    </row>
    <row r="16" spans="1:13" x14ac:dyDescent="0.2">
      <c r="A16" s="64"/>
      <c r="B16" s="168"/>
      <c r="C16" s="18"/>
      <c r="G16" s="18"/>
      <c r="I16" s="18"/>
    </row>
    <row r="17" spans="1:13" x14ac:dyDescent="0.2">
      <c r="A17" s="64"/>
      <c r="B17" s="169">
        <v>0</v>
      </c>
      <c r="C17" s="171"/>
      <c r="F17" s="170"/>
      <c r="G17" s="171"/>
      <c r="I17" s="171"/>
      <c r="L17" s="170"/>
      <c r="M17" s="170"/>
    </row>
    <row r="18" spans="1:13" x14ac:dyDescent="0.2">
      <c r="A18" s="33" t="s">
        <v>106</v>
      </c>
      <c r="B18" s="168">
        <f>SUM(B8:B17)</f>
        <v>-5344401.9200000018</v>
      </c>
      <c r="C18" s="18">
        <f>SUM(C8:C17)</f>
        <v>-5344</v>
      </c>
      <c r="F18" s="168">
        <f>SUM(F8:F17)</f>
        <v>-5344401.9200000018</v>
      </c>
      <c r="G18" s="168">
        <f>SUM(G8:G17)</f>
        <v>-5344</v>
      </c>
      <c r="I18" s="18">
        <f>SUM(I8:I17)</f>
        <v>-8534</v>
      </c>
      <c r="L18" s="18">
        <f>SUM(L8:L17)</f>
        <v>-8534</v>
      </c>
      <c r="M18" s="18">
        <f>SUM(M8:M17)</f>
        <v>-3190</v>
      </c>
    </row>
    <row r="19" spans="1:13" x14ac:dyDescent="0.2">
      <c r="A19" s="33"/>
      <c r="B19" s="168"/>
      <c r="C19" s="18"/>
      <c r="G19" s="18"/>
      <c r="I19" s="18"/>
    </row>
    <row r="20" spans="1:13" x14ac:dyDescent="0.2">
      <c r="A20" s="64" t="s">
        <v>3</v>
      </c>
      <c r="B20" s="169">
        <v>-2352760</v>
      </c>
      <c r="C20" s="171">
        <v>-2353</v>
      </c>
      <c r="F20" s="176">
        <f>B20++D20+E20</f>
        <v>-2352760</v>
      </c>
      <c r="G20" s="171">
        <v>-2353</v>
      </c>
      <c r="I20" s="171">
        <v>-2844</v>
      </c>
      <c r="L20" s="179">
        <f>I20+J20+K20</f>
        <v>-2844</v>
      </c>
      <c r="M20" s="179">
        <f>L20-G20</f>
        <v>-491</v>
      </c>
    </row>
    <row r="21" spans="1:13" x14ac:dyDescent="0.2">
      <c r="A21" s="38" t="s">
        <v>66</v>
      </c>
      <c r="B21" s="168">
        <f>SUM(B18:B20)</f>
        <v>-7697161.9200000018</v>
      </c>
      <c r="C21" s="18">
        <f>SUM(C18:C20)</f>
        <v>-7697</v>
      </c>
      <c r="F21" s="131">
        <f>SUM(F18:F20)</f>
        <v>-7697161.9200000018</v>
      </c>
      <c r="G21" s="131">
        <f>SUM(G18:G20)</f>
        <v>-7697</v>
      </c>
      <c r="I21" s="18">
        <f>SUM(I18:I20)</f>
        <v>-11378</v>
      </c>
      <c r="L21" s="18">
        <f>SUM(L18:L20)</f>
        <v>-11378</v>
      </c>
      <c r="M21" s="18">
        <f>SUM(M18:M20)</f>
        <v>-3681</v>
      </c>
    </row>
    <row r="22" spans="1:13" x14ac:dyDescent="0.2">
      <c r="A22" s="33"/>
      <c r="B22" s="168"/>
      <c r="C22" s="18"/>
      <c r="G22" s="18"/>
      <c r="I22" s="18"/>
    </row>
    <row r="23" spans="1:13" x14ac:dyDescent="0.2">
      <c r="A23" s="55" t="s">
        <v>107</v>
      </c>
      <c r="B23" s="169">
        <v>-9975</v>
      </c>
      <c r="C23" s="171">
        <v>-10</v>
      </c>
      <c r="F23" s="175">
        <f>B23+D23+E23</f>
        <v>-9975</v>
      </c>
      <c r="G23" s="171">
        <v>-10</v>
      </c>
      <c r="I23" s="171">
        <v>-264</v>
      </c>
      <c r="L23" s="179">
        <f>I23+J23+K23</f>
        <v>-264</v>
      </c>
      <c r="M23" s="179">
        <f>L23-G23</f>
        <v>-254</v>
      </c>
    </row>
    <row r="24" spans="1:13" x14ac:dyDescent="0.2">
      <c r="A24" s="33" t="s">
        <v>67</v>
      </c>
      <c r="B24" s="168">
        <f>SUM(B21:B23)</f>
        <v>-7707136.9200000018</v>
      </c>
      <c r="C24" s="18">
        <f>SUM(C21:C23)</f>
        <v>-7707</v>
      </c>
      <c r="F24" s="168">
        <f>SUM(F21:F23)</f>
        <v>-7707136.9200000018</v>
      </c>
      <c r="G24" s="168">
        <f>SUM(G21:G23)</f>
        <v>-7707</v>
      </c>
      <c r="I24" s="18">
        <f>SUM(I21:I23)</f>
        <v>-11642</v>
      </c>
      <c r="L24" s="18">
        <f>SUM(L21:L23)</f>
        <v>-11642</v>
      </c>
      <c r="M24" s="18">
        <f>SUM(M21:M23)</f>
        <v>-3935</v>
      </c>
    </row>
    <row r="25" spans="1:13" x14ac:dyDescent="0.2">
      <c r="A25" s="55"/>
      <c r="B25" s="168"/>
      <c r="C25" s="18"/>
      <c r="G25" s="18"/>
      <c r="I25" s="18"/>
    </row>
    <row r="26" spans="1:13" x14ac:dyDescent="0.2">
      <c r="A26" s="38" t="s">
        <v>49</v>
      </c>
      <c r="B26" s="168"/>
      <c r="C26" s="18"/>
      <c r="G26" s="18"/>
      <c r="I26" s="18"/>
    </row>
    <row r="27" spans="1:13" x14ac:dyDescent="0.2">
      <c r="A27" s="55" t="s">
        <v>50</v>
      </c>
      <c r="B27" s="168"/>
      <c r="C27" s="18"/>
      <c r="G27" s="18"/>
      <c r="I27" s="18"/>
    </row>
    <row r="28" spans="1:13" x14ac:dyDescent="0.2">
      <c r="A28" s="55" t="s">
        <v>51</v>
      </c>
      <c r="B28" s="168">
        <v>0</v>
      </c>
      <c r="C28" s="18">
        <v>0</v>
      </c>
      <c r="G28" s="18">
        <v>0</v>
      </c>
      <c r="I28" s="18"/>
    </row>
    <row r="29" spans="1:13" x14ac:dyDescent="0.2">
      <c r="A29" s="55"/>
      <c r="B29" s="169">
        <v>0</v>
      </c>
      <c r="C29" s="171"/>
      <c r="F29" s="170"/>
      <c r="G29" s="171"/>
      <c r="I29" s="171"/>
      <c r="L29" s="170"/>
      <c r="M29" s="170"/>
    </row>
    <row r="30" spans="1:13" x14ac:dyDescent="0.2">
      <c r="A30" s="38" t="s">
        <v>67</v>
      </c>
      <c r="B30" s="172">
        <f>SUM(B24:B29)</f>
        <v>-7707136.9200000018</v>
      </c>
      <c r="C30" s="173">
        <f>SUM(C24:C29)</f>
        <v>-7707</v>
      </c>
      <c r="F30" s="133">
        <f>SUM(F24:F29)</f>
        <v>-7707136.9200000018</v>
      </c>
      <c r="G30" s="133">
        <f>SUM(G24:G29)</f>
        <v>-7707</v>
      </c>
      <c r="I30" s="173">
        <f>SUM(I24:I29)</f>
        <v>-11642</v>
      </c>
      <c r="L30" s="173">
        <f>SUM(L24:L29)</f>
        <v>-11642</v>
      </c>
      <c r="M30" s="173">
        <f>SUM(M24:M29)</f>
        <v>-3935</v>
      </c>
    </row>
    <row r="31" spans="1:13" x14ac:dyDescent="0.2">
      <c r="A31" s="55" t="s">
        <v>52</v>
      </c>
      <c r="B31" s="168"/>
      <c r="C31" s="18"/>
      <c r="G31" s="18"/>
      <c r="I31" s="18"/>
    </row>
    <row r="32" spans="1:13" x14ac:dyDescent="0.2">
      <c r="A32" s="55" t="s">
        <v>53</v>
      </c>
      <c r="B32" s="168">
        <v>-7331478.9200000018</v>
      </c>
      <c r="C32" s="18">
        <v>-7331</v>
      </c>
      <c r="G32" s="18">
        <v>-7331</v>
      </c>
      <c r="I32" s="18"/>
    </row>
    <row r="33" spans="1:9" x14ac:dyDescent="0.2">
      <c r="A33" s="55" t="s">
        <v>54</v>
      </c>
      <c r="B33" s="168">
        <v>-375658</v>
      </c>
      <c r="C33" s="18">
        <v>-376</v>
      </c>
      <c r="G33" s="18">
        <v>-376</v>
      </c>
      <c r="I33" s="18"/>
    </row>
    <row r="34" spans="1:9" x14ac:dyDescent="0.2">
      <c r="B34" s="168">
        <v>-7707136.9200000018</v>
      </c>
      <c r="C34" s="18">
        <v>-7707</v>
      </c>
      <c r="G34" s="18">
        <v>-7707</v>
      </c>
      <c r="I34" s="18"/>
    </row>
    <row r="36" spans="1:9" x14ac:dyDescent="0.2">
      <c r="C36" s="18"/>
    </row>
    <row r="37" spans="1:9" x14ac:dyDescent="0.2">
      <c r="C37" s="18"/>
    </row>
    <row r="38" spans="1:9" x14ac:dyDescent="0.2">
      <c r="C38" s="18"/>
    </row>
    <row r="39" spans="1:9" x14ac:dyDescent="0.2">
      <c r="C39" s="18"/>
    </row>
    <row r="40" spans="1:9" x14ac:dyDescent="0.2">
      <c r="C40" s="18"/>
    </row>
  </sheetData>
  <pageMargins left="0.31496062992125984" right="0.19685039370078741" top="0.51181102362204722"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63"/>
  <sheetViews>
    <sheetView workbookViewId="0">
      <pane xSplit="1" ySplit="5" topLeftCell="X6" activePane="bottomRight" state="frozen"/>
      <selection sqref="A1:AP1"/>
      <selection pane="topRight" sqref="A1:AP1"/>
      <selection pane="bottomLeft" sqref="A1:AP1"/>
      <selection pane="bottomRight" sqref="A1:AP1"/>
    </sheetView>
  </sheetViews>
  <sheetFormatPr defaultRowHeight="11.25" outlineLevelRow="1" outlineLevelCol="1" x14ac:dyDescent="0.2"/>
  <cols>
    <col min="1" max="1" width="23" style="30" customWidth="1"/>
    <col min="2" max="3" width="10.42578125" style="31" customWidth="1"/>
    <col min="4" max="4" width="9.28515625" style="31" customWidth="1"/>
    <col min="5" max="5" width="10" style="31" customWidth="1"/>
    <col min="6" max="6" width="9.5703125" style="31" customWidth="1"/>
    <col min="7" max="7" width="10.42578125" style="31" customWidth="1"/>
    <col min="8" max="8" width="11.28515625" style="31" customWidth="1"/>
    <col min="9" max="9" width="7.5703125" style="31" customWidth="1"/>
    <col min="10" max="10" width="9.5703125" style="31" customWidth="1"/>
    <col min="11" max="11" width="8.42578125" style="31" customWidth="1"/>
    <col min="12" max="12" width="6.5703125" style="31" customWidth="1"/>
    <col min="13" max="13" width="10.42578125" style="31" customWidth="1"/>
    <col min="14" max="14" width="9" style="31" customWidth="1"/>
    <col min="15" max="15" width="9.42578125" style="31" customWidth="1"/>
    <col min="16" max="16" width="11.28515625" style="31" customWidth="1"/>
    <col min="17" max="17" width="7" style="411" customWidth="1"/>
    <col min="18" max="18" width="11.28515625" style="31" customWidth="1"/>
    <col min="19" max="19" width="9.85546875" style="31" customWidth="1"/>
    <col min="20" max="20" width="10.7109375" style="31" hidden="1" customWidth="1" outlineLevel="1"/>
    <col min="21" max="21" width="4.42578125" style="31" hidden="1" customWidth="1" outlineLevel="1"/>
    <col min="22" max="22" width="11.28515625" style="31" customWidth="1" collapsed="1"/>
    <col min="23" max="23" width="9.140625" style="30" hidden="1" customWidth="1"/>
    <col min="24" max="25" width="11.28515625" style="30" customWidth="1" outlineLevel="1"/>
    <col min="26" max="26" width="9.5703125" style="30" customWidth="1" outlineLevel="1"/>
    <col min="27" max="28" width="10.42578125" style="30" customWidth="1" outlineLevel="1"/>
    <col min="29" max="29" width="5.85546875" style="30" customWidth="1" outlineLevel="1"/>
    <col min="30" max="32" width="9.140625" style="30" customWidth="1"/>
    <col min="33" max="33" width="7.5703125" style="64" customWidth="1"/>
    <col min="34" max="34" width="2.85546875" style="30" customWidth="1"/>
    <col min="35" max="35" width="9.140625" style="30" customWidth="1"/>
    <col min="36" max="39" width="9.140625" style="30" hidden="1" customWidth="1"/>
    <col min="40" max="16384" width="9.140625" style="30"/>
  </cols>
  <sheetData>
    <row r="1" spans="1:41" x14ac:dyDescent="0.2">
      <c r="A1" s="29" t="s">
        <v>2</v>
      </c>
      <c r="B1" s="29"/>
      <c r="C1" s="29"/>
      <c r="D1" s="29"/>
      <c r="E1" s="29"/>
      <c r="F1" s="29"/>
      <c r="G1" s="29"/>
      <c r="H1" s="29"/>
      <c r="I1" s="29"/>
      <c r="J1" s="29"/>
      <c r="K1" s="29"/>
      <c r="L1" s="29"/>
      <c r="M1" s="29"/>
      <c r="N1" s="29"/>
      <c r="O1" s="29"/>
      <c r="P1" s="29"/>
      <c r="Q1" s="413"/>
      <c r="R1" s="29"/>
      <c r="S1" s="29"/>
      <c r="T1" s="29"/>
      <c r="U1" s="29"/>
      <c r="V1" s="29"/>
    </row>
    <row r="2" spans="1:41" x14ac:dyDescent="0.2">
      <c r="A2" s="68" t="s">
        <v>1075</v>
      </c>
      <c r="B2" s="29"/>
      <c r="C2" s="29"/>
      <c r="D2" s="29"/>
      <c r="E2" s="29"/>
      <c r="F2" s="29"/>
      <c r="G2" s="29"/>
      <c r="H2" s="29"/>
      <c r="I2" s="29"/>
      <c r="J2" s="29"/>
      <c r="K2" s="29"/>
      <c r="L2" s="29"/>
      <c r="M2" s="29"/>
      <c r="N2" s="29"/>
      <c r="O2" s="29"/>
      <c r="P2" s="29"/>
      <c r="Q2" s="413"/>
      <c r="R2" s="29"/>
      <c r="S2" s="29"/>
      <c r="T2" s="29"/>
      <c r="U2" s="29"/>
      <c r="V2" s="29"/>
      <c r="Y2" s="68" t="s">
        <v>484</v>
      </c>
    </row>
    <row r="3" spans="1:41" x14ac:dyDescent="0.2">
      <c r="B3" s="54" t="s">
        <v>510</v>
      </c>
      <c r="C3" s="54" t="s">
        <v>510</v>
      </c>
      <c r="D3" s="54" t="s">
        <v>510</v>
      </c>
      <c r="E3" s="109"/>
      <c r="F3" s="54" t="s">
        <v>510</v>
      </c>
      <c r="G3" s="54" t="s">
        <v>510</v>
      </c>
      <c r="H3" s="54" t="s">
        <v>510</v>
      </c>
      <c r="I3" s="54" t="s">
        <v>510</v>
      </c>
      <c r="J3" s="54" t="s">
        <v>510</v>
      </c>
      <c r="K3" s="54" t="s">
        <v>510</v>
      </c>
      <c r="L3" s="54" t="s">
        <v>510</v>
      </c>
      <c r="M3" s="54" t="s">
        <v>510</v>
      </c>
      <c r="N3" s="54" t="s">
        <v>510</v>
      </c>
      <c r="O3" s="54" t="s">
        <v>510</v>
      </c>
      <c r="P3" s="32" t="s">
        <v>1</v>
      </c>
      <c r="R3" s="32"/>
      <c r="S3" s="32"/>
      <c r="T3" s="32"/>
      <c r="U3" s="32"/>
      <c r="W3" s="32" t="s">
        <v>1</v>
      </c>
      <c r="Y3" s="68" t="s">
        <v>394</v>
      </c>
      <c r="Z3" s="68" t="s">
        <v>395</v>
      </c>
      <c r="AA3" s="68" t="s">
        <v>395</v>
      </c>
      <c r="AB3" s="68" t="s">
        <v>396</v>
      </c>
      <c r="AG3" s="68" t="s">
        <v>1086</v>
      </c>
      <c r="AI3" s="232" t="s">
        <v>303</v>
      </c>
      <c r="AJ3" s="210"/>
      <c r="AK3" s="211"/>
      <c r="AL3" s="211"/>
      <c r="AM3" s="212"/>
      <c r="AN3" s="218"/>
      <c r="AO3" s="68" t="s">
        <v>669</v>
      </c>
    </row>
    <row r="4" spans="1:41" x14ac:dyDescent="0.2">
      <c r="B4" s="54"/>
      <c r="C4" s="54"/>
      <c r="D4" s="54"/>
      <c r="E4" s="54" t="s">
        <v>861</v>
      </c>
      <c r="F4" s="54"/>
      <c r="G4" s="54"/>
      <c r="H4" s="54"/>
      <c r="I4" s="54"/>
      <c r="J4" s="54"/>
      <c r="K4" s="54"/>
      <c r="L4" s="54" t="s">
        <v>153</v>
      </c>
      <c r="M4" s="81" t="s">
        <v>61</v>
      </c>
      <c r="N4" s="68"/>
      <c r="O4" s="54" t="s">
        <v>148</v>
      </c>
      <c r="P4" s="32"/>
      <c r="R4" s="32" t="s">
        <v>26</v>
      </c>
      <c r="S4" s="32"/>
      <c r="T4" s="32"/>
      <c r="U4" s="32"/>
      <c r="V4" s="32"/>
      <c r="AF4" s="29">
        <v>2016</v>
      </c>
      <c r="AG4" s="68">
        <v>2015</v>
      </c>
      <c r="AI4" s="233">
        <v>2015</v>
      </c>
      <c r="AJ4" s="213">
        <v>2015</v>
      </c>
      <c r="AK4" s="29"/>
      <c r="AL4" s="29"/>
      <c r="AM4" s="214"/>
      <c r="AN4" s="219">
        <v>2015</v>
      </c>
      <c r="AO4" s="68">
        <v>2015</v>
      </c>
    </row>
    <row r="5" spans="1:41" s="29" customFormat="1" x14ac:dyDescent="0.2">
      <c r="B5" s="54" t="s">
        <v>144</v>
      </c>
      <c r="C5" s="54" t="s">
        <v>346</v>
      </c>
      <c r="D5" s="69" t="s">
        <v>145</v>
      </c>
      <c r="E5" s="69" t="s">
        <v>146</v>
      </c>
      <c r="F5" s="69" t="s">
        <v>147</v>
      </c>
      <c r="G5" s="40" t="s">
        <v>148</v>
      </c>
      <c r="H5" s="40" t="s">
        <v>149</v>
      </c>
      <c r="I5" s="40" t="s">
        <v>150</v>
      </c>
      <c r="J5" s="40" t="s">
        <v>151</v>
      </c>
      <c r="K5" s="104" t="s">
        <v>152</v>
      </c>
      <c r="L5" s="54" t="s">
        <v>154</v>
      </c>
      <c r="M5" s="81" t="s">
        <v>155</v>
      </c>
      <c r="N5" s="54" t="s">
        <v>156</v>
      </c>
      <c r="O5" s="54" t="s">
        <v>157</v>
      </c>
      <c r="P5" s="32" t="s">
        <v>7</v>
      </c>
      <c r="Q5" s="411"/>
      <c r="R5" s="29" t="s">
        <v>158</v>
      </c>
      <c r="S5" s="32" t="s">
        <v>159</v>
      </c>
      <c r="T5" s="32" t="s">
        <v>31</v>
      </c>
      <c r="U5" s="32"/>
      <c r="V5" s="92" t="s">
        <v>7</v>
      </c>
      <c r="Y5" s="71" t="s">
        <v>344</v>
      </c>
      <c r="Z5" s="72" t="s">
        <v>311</v>
      </c>
      <c r="AA5" s="68" t="s">
        <v>62</v>
      </c>
      <c r="AB5" s="68" t="s">
        <v>354</v>
      </c>
      <c r="AD5" s="68" t="s">
        <v>1310</v>
      </c>
      <c r="AE5" s="68" t="s">
        <v>1076</v>
      </c>
      <c r="AF5" s="68" t="s">
        <v>617</v>
      </c>
      <c r="AG5" s="68" t="s">
        <v>617</v>
      </c>
      <c r="AI5" s="234" t="s">
        <v>1087</v>
      </c>
      <c r="AJ5" s="215" t="s">
        <v>1088</v>
      </c>
      <c r="AK5" s="216"/>
      <c r="AL5" s="216"/>
      <c r="AM5" s="217"/>
      <c r="AN5" s="220" t="s">
        <v>1088</v>
      </c>
      <c r="AO5" s="68" t="s">
        <v>617</v>
      </c>
    </row>
    <row r="6" spans="1:41" x14ac:dyDescent="0.2">
      <c r="A6" s="33" t="s">
        <v>46</v>
      </c>
      <c r="B6" s="52"/>
      <c r="C6" s="52"/>
      <c r="D6" s="52"/>
      <c r="G6" s="52"/>
      <c r="H6" s="52"/>
      <c r="K6" s="52"/>
      <c r="L6" s="52"/>
      <c r="M6" s="52"/>
      <c r="N6" s="52"/>
      <c r="O6" s="52"/>
      <c r="AI6" s="235"/>
      <c r="AJ6" s="210"/>
      <c r="AK6" s="211"/>
      <c r="AL6" s="211"/>
      <c r="AM6" s="212"/>
      <c r="AN6" s="212"/>
    </row>
    <row r="7" spans="1:41" x14ac:dyDescent="0.2">
      <c r="A7" s="30" t="s">
        <v>27</v>
      </c>
      <c r="B7" s="52">
        <v>0</v>
      </c>
      <c r="C7" s="52">
        <f>1984000</f>
        <v>1984000</v>
      </c>
      <c r="D7" s="52">
        <v>0</v>
      </c>
      <c r="E7" s="109">
        <v>0</v>
      </c>
      <c r="F7" s="52">
        <v>0</v>
      </c>
      <c r="G7" s="52">
        <v>0</v>
      </c>
      <c r="H7" s="52">
        <v>5602330</v>
      </c>
      <c r="I7" s="52">
        <v>0</v>
      </c>
      <c r="J7" s="52">
        <v>0</v>
      </c>
      <c r="K7" s="52">
        <v>0</v>
      </c>
      <c r="L7" s="52">
        <v>0</v>
      </c>
      <c r="M7" s="52">
        <f>5455843</f>
        <v>5455843</v>
      </c>
      <c r="N7" s="52">
        <v>0</v>
      </c>
      <c r="O7" s="52">
        <v>0</v>
      </c>
      <c r="P7" s="31">
        <f>SUM(B7:O7)</f>
        <v>13042173</v>
      </c>
      <c r="T7" s="31">
        <v>0</v>
      </c>
      <c r="V7" s="31">
        <f>P7-R7+S7</f>
        <v>13042173</v>
      </c>
      <c r="W7" s="31">
        <v>0</v>
      </c>
      <c r="X7" s="51">
        <f>SUM(Y7:AB7)</f>
        <v>13042173</v>
      </c>
      <c r="Y7" s="51">
        <f>G7+H7+I7+J7+M7</f>
        <v>11058173</v>
      </c>
      <c r="Z7" s="51">
        <f>D7+E7+F7+K7</f>
        <v>0</v>
      </c>
      <c r="AA7" s="51">
        <f>B7+L7+N7+O7</f>
        <v>0</v>
      </c>
      <c r="AB7" s="51">
        <f>C7</f>
        <v>1984000</v>
      </c>
      <c r="AD7" s="43">
        <v>13042</v>
      </c>
      <c r="AE7" s="31">
        <v>74785</v>
      </c>
      <c r="AF7" s="31">
        <f>AD7-AE7</f>
        <v>-61743</v>
      </c>
      <c r="AG7" s="52">
        <v>13397</v>
      </c>
      <c r="AI7" s="236">
        <v>99024</v>
      </c>
      <c r="AJ7" s="221">
        <v>85627</v>
      </c>
      <c r="AK7" s="52"/>
      <c r="AL7" s="52"/>
      <c r="AM7" s="222"/>
      <c r="AN7" s="222">
        <f>AJ7+AK7+AL7+AM7</f>
        <v>85627</v>
      </c>
      <c r="AO7" s="208">
        <f>AI7-AN7</f>
        <v>13397</v>
      </c>
    </row>
    <row r="8" spans="1:41" x14ac:dyDescent="0.2">
      <c r="A8" s="30" t="s">
        <v>28</v>
      </c>
      <c r="B8" s="209">
        <v>0</v>
      </c>
      <c r="C8" s="209">
        <f>-1627866</f>
        <v>-1627866</v>
      </c>
      <c r="D8" s="209">
        <v>0</v>
      </c>
      <c r="E8" s="369">
        <v>0</v>
      </c>
      <c r="F8" s="209">
        <v>0</v>
      </c>
      <c r="G8" s="209">
        <v>0</v>
      </c>
      <c r="H8" s="209">
        <f>-4090255+355766-1274781</f>
        <v>-5009270</v>
      </c>
      <c r="I8" s="209">
        <v>0</v>
      </c>
      <c r="J8" s="209">
        <v>0</v>
      </c>
      <c r="K8" s="209">
        <v>0</v>
      </c>
      <c r="L8" s="209">
        <v>0</v>
      </c>
      <c r="M8" s="243">
        <f>-3360359+271485-1700915</f>
        <v>-4789789</v>
      </c>
      <c r="N8" s="209">
        <v>0</v>
      </c>
      <c r="O8" s="209">
        <v>0</v>
      </c>
      <c r="P8" s="36">
        <f>SUM(B8:O8)</f>
        <v>-11426925</v>
      </c>
      <c r="Q8" s="411" t="s">
        <v>1328</v>
      </c>
      <c r="R8" s="31">
        <f>'Conso C adjs'!$D$42+'Conso C adjs'!$D$43</f>
        <v>159571</v>
      </c>
      <c r="T8" s="36">
        <v>0</v>
      </c>
      <c r="U8" s="36"/>
      <c r="V8" s="36">
        <f>P8-R8+S8</f>
        <v>-11586496</v>
      </c>
      <c r="W8" s="36">
        <v>0</v>
      </c>
      <c r="X8" s="51">
        <f>SUM(Y8:AB8)</f>
        <v>-11426925</v>
      </c>
      <c r="Y8" s="70">
        <f>G8+H8+I8+J8+M8</f>
        <v>-9799059</v>
      </c>
      <c r="Z8" s="70">
        <f>D8+E8+F8+K8</f>
        <v>0</v>
      </c>
      <c r="AA8" s="70">
        <f>B8+L8+N8+O8</f>
        <v>0</v>
      </c>
      <c r="AB8" s="70">
        <f>C8</f>
        <v>-1627866</v>
      </c>
      <c r="AD8" s="410">
        <v>-11586</v>
      </c>
      <c r="AE8" s="36">
        <v>-65432</v>
      </c>
      <c r="AF8" s="36">
        <f>AD8-AE8</f>
        <v>53846</v>
      </c>
      <c r="AG8" s="52">
        <v>-9226</v>
      </c>
      <c r="AI8" s="237">
        <v>-82898</v>
      </c>
      <c r="AJ8" s="223">
        <v>-73672</v>
      </c>
      <c r="AK8" s="209"/>
      <c r="AL8" s="209"/>
      <c r="AM8" s="224"/>
      <c r="AN8" s="224">
        <f>AJ8+AK8+AL8+AM8</f>
        <v>-73672</v>
      </c>
      <c r="AO8" s="209">
        <f>AI8-AN8</f>
        <v>-9226</v>
      </c>
    </row>
    <row r="9" spans="1:41" x14ac:dyDescent="0.2">
      <c r="A9" s="33" t="s">
        <v>48</v>
      </c>
      <c r="B9" s="52">
        <f t="shared" ref="B9:P9" si="0">SUM(B7:B8)</f>
        <v>0</v>
      </c>
      <c r="C9" s="52">
        <f t="shared" si="0"/>
        <v>356134</v>
      </c>
      <c r="D9" s="52">
        <f t="shared" si="0"/>
        <v>0</v>
      </c>
      <c r="E9" s="109">
        <f t="shared" si="0"/>
        <v>0</v>
      </c>
      <c r="F9" s="52">
        <f t="shared" si="0"/>
        <v>0</v>
      </c>
      <c r="G9" s="52">
        <f t="shared" si="0"/>
        <v>0</v>
      </c>
      <c r="H9" s="52">
        <f t="shared" si="0"/>
        <v>593060</v>
      </c>
      <c r="I9" s="52">
        <f t="shared" si="0"/>
        <v>0</v>
      </c>
      <c r="J9" s="52">
        <f t="shared" si="0"/>
        <v>0</v>
      </c>
      <c r="K9" s="52">
        <f t="shared" si="0"/>
        <v>0</v>
      </c>
      <c r="L9" s="52">
        <f t="shared" si="0"/>
        <v>0</v>
      </c>
      <c r="M9" s="52">
        <f t="shared" si="0"/>
        <v>666054</v>
      </c>
      <c r="N9" s="52">
        <f t="shared" si="0"/>
        <v>0</v>
      </c>
      <c r="O9" s="52">
        <f t="shared" si="0"/>
        <v>0</v>
      </c>
      <c r="P9" s="31">
        <f t="shared" si="0"/>
        <v>1615248</v>
      </c>
      <c r="T9" s="31">
        <f>SUM(T7:T8)</f>
        <v>0</v>
      </c>
      <c r="U9" s="31">
        <f>SUM(U7:U8)</f>
        <v>0</v>
      </c>
      <c r="V9" s="31">
        <f>SUM(V7:V8)</f>
        <v>1455677</v>
      </c>
      <c r="W9" s="31">
        <f>SUM(W7:W8)</f>
        <v>0</v>
      </c>
      <c r="X9" s="51">
        <f>SUM(Y9:AB9)</f>
        <v>1615248</v>
      </c>
      <c r="Y9" s="51">
        <f>SUM(Y7:Y8)</f>
        <v>1259114</v>
      </c>
      <c r="Z9" s="51">
        <f>SUM(Z7:Z8)</f>
        <v>0</v>
      </c>
      <c r="AA9" s="51">
        <f>SUM(AA7:AA8)</f>
        <v>0</v>
      </c>
      <c r="AB9" s="51">
        <f>SUM(AB7:AB8)</f>
        <v>356134</v>
      </c>
      <c r="AD9" s="43">
        <f>SUM(AD7:AD8)</f>
        <v>1456</v>
      </c>
      <c r="AE9" s="31">
        <f>SUM(AE7:AE8)</f>
        <v>9353</v>
      </c>
      <c r="AF9" s="31">
        <f>SUM(AF7:AF8)</f>
        <v>-7897</v>
      </c>
      <c r="AG9" s="52">
        <f>SUM(AG7:AG8)</f>
        <v>4171</v>
      </c>
      <c r="AI9" s="238">
        <f>SUM(AI7:AI8)</f>
        <v>16126</v>
      </c>
      <c r="AJ9" s="221">
        <f>SUM(AJ7:AJ8)</f>
        <v>11955</v>
      </c>
      <c r="AK9" s="52"/>
      <c r="AL9" s="52"/>
      <c r="AM9" s="222"/>
      <c r="AN9" s="222">
        <f>SUM(AN7:AN8)</f>
        <v>11955</v>
      </c>
      <c r="AO9" s="52">
        <f>SUM(AO7:AO8)</f>
        <v>4171</v>
      </c>
    </row>
    <row r="10" spans="1:41" x14ac:dyDescent="0.2">
      <c r="B10" s="52"/>
      <c r="C10" s="52"/>
      <c r="D10" s="52"/>
      <c r="E10" s="109"/>
      <c r="F10" s="52"/>
      <c r="G10" s="52"/>
      <c r="H10" s="52"/>
      <c r="I10" s="52"/>
      <c r="J10" s="52"/>
      <c r="K10" s="52"/>
      <c r="L10" s="52"/>
      <c r="M10" s="52"/>
      <c r="N10" s="52"/>
      <c r="O10" s="52"/>
      <c r="R10" s="52"/>
      <c r="S10" s="52"/>
      <c r="W10" s="31"/>
      <c r="X10" s="51">
        <f>SUM(Y10:AB10)</f>
        <v>0</v>
      </c>
      <c r="Y10" s="51"/>
      <c r="Z10" s="51"/>
      <c r="AA10" s="51"/>
      <c r="AD10" s="43"/>
      <c r="AE10" s="31"/>
      <c r="AF10" s="31"/>
      <c r="AG10" s="52"/>
      <c r="AI10" s="236"/>
      <c r="AJ10" s="221"/>
      <c r="AK10" s="52" t="s">
        <v>722</v>
      </c>
      <c r="AL10" s="52" t="s">
        <v>728</v>
      </c>
      <c r="AM10" s="222" t="s">
        <v>729</v>
      </c>
      <c r="AN10" s="222"/>
    </row>
    <row r="11" spans="1:41" x14ac:dyDescent="0.2">
      <c r="A11" s="30" t="s">
        <v>29</v>
      </c>
      <c r="B11" s="52">
        <f>47</f>
        <v>47</v>
      </c>
      <c r="C11" s="52">
        <v>4573</v>
      </c>
      <c r="D11" s="52">
        <f>24000</f>
        <v>24000</v>
      </c>
      <c r="E11" s="109">
        <v>0</v>
      </c>
      <c r="F11" s="52">
        <f>29315</f>
        <v>29315</v>
      </c>
      <c r="G11" s="52">
        <f>47470+915993</f>
        <v>963463</v>
      </c>
      <c r="H11" s="52">
        <v>44509</v>
      </c>
      <c r="I11" s="52">
        <v>0</v>
      </c>
      <c r="J11" s="52">
        <v>0</v>
      </c>
      <c r="K11" s="52">
        <v>0</v>
      </c>
      <c r="L11" s="52">
        <v>0</v>
      </c>
      <c r="M11" s="52">
        <f>-21103</f>
        <v>-21103</v>
      </c>
      <c r="N11" s="52">
        <v>0</v>
      </c>
      <c r="O11" s="52">
        <v>0</v>
      </c>
      <c r="P11" s="31">
        <f>SUM(B11:O11)</f>
        <v>1044804</v>
      </c>
      <c r="Q11" s="414" t="s">
        <v>1326</v>
      </c>
      <c r="R11" s="52">
        <f>'Conso C adjs'!$D$22</f>
        <v>450000</v>
      </c>
      <c r="S11" s="52"/>
      <c r="T11" s="31">
        <v>0</v>
      </c>
      <c r="V11" s="31">
        <f>P11-R11+S11-R12+S12-R13+S13-R14+S14</f>
        <v>234804</v>
      </c>
      <c r="W11" s="31">
        <v>0</v>
      </c>
      <c r="X11" s="51">
        <f>SUM(Y11:AB11)</f>
        <v>1044804</v>
      </c>
      <c r="Y11" s="51">
        <f>G11+H11+I11+J11+M11</f>
        <v>986869</v>
      </c>
      <c r="Z11" s="51">
        <f>D11+E11+F11+K11</f>
        <v>53315</v>
      </c>
      <c r="AA11" s="51">
        <f>B11+L11+N11+O11</f>
        <v>47</v>
      </c>
      <c r="AB11" s="51">
        <f>C11</f>
        <v>4573</v>
      </c>
      <c r="AD11" s="43">
        <v>234</v>
      </c>
      <c r="AE11" s="31">
        <v>1651</v>
      </c>
      <c r="AF11" s="31">
        <f>AD11-AE11</f>
        <v>-1417</v>
      </c>
      <c r="AG11" s="52">
        <v>253</v>
      </c>
      <c r="AI11" s="236">
        <f>224+1929</f>
        <v>2153</v>
      </c>
      <c r="AJ11" s="221">
        <v>1900</v>
      </c>
      <c r="AK11" s="52"/>
      <c r="AL11" s="52"/>
      <c r="AM11" s="222"/>
      <c r="AN11" s="222">
        <f>AJ11+AK11+AL11+AM11</f>
        <v>1900</v>
      </c>
      <c r="AO11" s="208">
        <f>AI11-AN11</f>
        <v>253</v>
      </c>
    </row>
    <row r="12" spans="1:41" x14ac:dyDescent="0.2">
      <c r="B12" s="52"/>
      <c r="C12" s="52"/>
      <c r="D12" s="52"/>
      <c r="E12" s="109"/>
      <c r="F12" s="52"/>
      <c r="G12" s="52"/>
      <c r="H12" s="52"/>
      <c r="I12" s="52"/>
      <c r="J12" s="52"/>
      <c r="K12" s="52"/>
      <c r="L12" s="52"/>
      <c r="M12" s="52"/>
      <c r="N12" s="52"/>
      <c r="O12" s="52"/>
      <c r="Q12" s="415" t="s">
        <v>1327</v>
      </c>
      <c r="R12" s="52">
        <f>'Conso C adjs'!$D$29</f>
        <v>360000</v>
      </c>
      <c r="S12" s="52"/>
      <c r="W12" s="31"/>
      <c r="X12" s="51"/>
      <c r="Y12" s="51"/>
      <c r="Z12" s="51"/>
      <c r="AA12" s="51"/>
      <c r="AB12" s="51"/>
      <c r="AD12" s="43"/>
      <c r="AE12" s="31"/>
      <c r="AF12" s="31"/>
      <c r="AG12" s="52"/>
      <c r="AI12" s="236"/>
      <c r="AJ12" s="221"/>
      <c r="AK12" s="52"/>
      <c r="AL12" s="52"/>
      <c r="AM12" s="222"/>
      <c r="AN12" s="222"/>
      <c r="AO12" s="208"/>
    </row>
    <row r="13" spans="1:41" x14ac:dyDescent="0.2">
      <c r="B13" s="52"/>
      <c r="C13" s="52"/>
      <c r="D13" s="52"/>
      <c r="E13" s="109"/>
      <c r="F13" s="52"/>
      <c r="G13" s="52"/>
      <c r="H13" s="52"/>
      <c r="I13" s="52"/>
      <c r="J13" s="52"/>
      <c r="K13" s="52"/>
      <c r="L13" s="52"/>
      <c r="M13" s="52"/>
      <c r="N13" s="52"/>
      <c r="O13" s="52"/>
      <c r="R13" s="52"/>
      <c r="S13" s="52"/>
      <c r="W13" s="31"/>
      <c r="X13" s="51"/>
      <c r="Y13" s="51"/>
      <c r="Z13" s="51"/>
      <c r="AA13" s="51"/>
      <c r="AB13" s="51"/>
      <c r="AD13" s="43"/>
      <c r="AE13" s="31"/>
      <c r="AF13" s="31"/>
      <c r="AG13" s="52"/>
      <c r="AI13" s="236"/>
      <c r="AJ13" s="221"/>
      <c r="AK13" s="52"/>
      <c r="AL13" s="52"/>
      <c r="AM13" s="222"/>
      <c r="AN13" s="222"/>
      <c r="AO13" s="208"/>
    </row>
    <row r="14" spans="1:41" x14ac:dyDescent="0.2">
      <c r="B14" s="52"/>
      <c r="C14" s="52"/>
      <c r="D14" s="52"/>
      <c r="E14" s="109"/>
      <c r="F14" s="52"/>
      <c r="G14" s="52"/>
      <c r="H14" s="52"/>
      <c r="I14" s="52"/>
      <c r="J14" s="52"/>
      <c r="K14" s="52"/>
      <c r="L14" s="52"/>
      <c r="M14" s="52"/>
      <c r="N14" s="52"/>
      <c r="O14" s="52"/>
      <c r="R14" s="52"/>
      <c r="S14" s="52"/>
      <c r="W14" s="31"/>
      <c r="X14" s="51"/>
      <c r="Y14" s="51"/>
      <c r="Z14" s="51"/>
      <c r="AA14" s="51"/>
      <c r="AB14" s="51"/>
      <c r="AD14" s="43"/>
      <c r="AE14" s="31"/>
      <c r="AF14" s="31"/>
      <c r="AG14" s="52"/>
      <c r="AI14" s="236"/>
      <c r="AJ14" s="221"/>
      <c r="AK14" s="52"/>
      <c r="AL14" s="52"/>
      <c r="AM14" s="222"/>
      <c r="AN14" s="222"/>
      <c r="AO14" s="208"/>
    </row>
    <row r="15" spans="1:41" x14ac:dyDescent="0.2">
      <c r="A15" s="34" t="s">
        <v>47</v>
      </c>
      <c r="B15" s="52">
        <v>0</v>
      </c>
      <c r="C15" s="52">
        <f>-25375</f>
        <v>-25375</v>
      </c>
      <c r="D15" s="52">
        <v>0</v>
      </c>
      <c r="E15" s="109">
        <v>0</v>
      </c>
      <c r="F15" s="52">
        <v>0</v>
      </c>
      <c r="G15" s="52">
        <v>0</v>
      </c>
      <c r="H15" s="57">
        <f>-164878-6164-347732</f>
        <v>-518774</v>
      </c>
      <c r="I15" s="52">
        <v>0</v>
      </c>
      <c r="J15" s="52">
        <v>0</v>
      </c>
      <c r="K15" s="52">
        <v>0</v>
      </c>
      <c r="L15" s="52">
        <v>0</v>
      </c>
      <c r="M15" s="52">
        <f>-152066-1852-283291</f>
        <v>-437209</v>
      </c>
      <c r="N15" s="52">
        <v>0</v>
      </c>
      <c r="O15" s="52">
        <v>0</v>
      </c>
      <c r="P15" s="31">
        <f>SUM(B15:O15)</f>
        <v>-981358</v>
      </c>
      <c r="R15" s="52"/>
      <c r="S15" s="52"/>
      <c r="T15" s="31">
        <v>0</v>
      </c>
      <c r="V15" s="31">
        <f>P15-R15+S15</f>
        <v>-981358</v>
      </c>
      <c r="W15" s="31">
        <v>0</v>
      </c>
      <c r="X15" s="51">
        <f>SUM(Y15:AB15)</f>
        <v>-981358</v>
      </c>
      <c r="Y15" s="51">
        <f>G15+H15+I15+J15+M15</f>
        <v>-955983</v>
      </c>
      <c r="Z15" s="51">
        <f>D15+E15+F15+K15</f>
        <v>0</v>
      </c>
      <c r="AA15" s="51">
        <f>B15+L15+N15+O15</f>
        <v>0</v>
      </c>
      <c r="AB15" s="51">
        <f>C15</f>
        <v>-25375</v>
      </c>
      <c r="AD15" s="43">
        <v>-981</v>
      </c>
      <c r="AE15" s="31">
        <v>-4375</v>
      </c>
      <c r="AF15" s="31">
        <f>AD15-AE15</f>
        <v>3394</v>
      </c>
      <c r="AG15" s="52">
        <v>-1922</v>
      </c>
      <c r="AI15" s="236">
        <v>-5019</v>
      </c>
      <c r="AJ15" s="221">
        <v>-3097</v>
      </c>
      <c r="AK15" s="52"/>
      <c r="AL15" s="52"/>
      <c r="AM15" s="222"/>
      <c r="AN15" s="222">
        <f>AJ15+AK15+AL15+AM15</f>
        <v>-3097</v>
      </c>
      <c r="AO15" s="208">
        <f>AI15-AN15</f>
        <v>-1922</v>
      </c>
    </row>
    <row r="16" spans="1:41" x14ac:dyDescent="0.2">
      <c r="A16" s="30" t="s">
        <v>30</v>
      </c>
      <c r="B16" s="52">
        <f>-433085</f>
        <v>-433085</v>
      </c>
      <c r="C16" s="52">
        <f>-489878-9057+25375</f>
        <v>-473560</v>
      </c>
      <c r="D16" s="52">
        <f>-11760-3</f>
        <v>-11763</v>
      </c>
      <c r="E16" s="109">
        <v>0</v>
      </c>
      <c r="F16" s="52">
        <f>-38017-242</f>
        <v>-38259</v>
      </c>
      <c r="G16" s="52">
        <f>-598610</f>
        <v>-598610</v>
      </c>
      <c r="H16" s="57">
        <f>-1288734+242238-1387+1</f>
        <v>-1047882</v>
      </c>
      <c r="I16" s="52">
        <v>0</v>
      </c>
      <c r="J16" s="52">
        <f>-53</f>
        <v>-53</v>
      </c>
      <c r="K16" s="52">
        <f>-1620-54</f>
        <v>-1674</v>
      </c>
      <c r="L16" s="52">
        <f>-1400</f>
        <v>-1400</v>
      </c>
      <c r="M16" s="52">
        <f>-489006</f>
        <v>-489006</v>
      </c>
      <c r="N16" s="52">
        <f>-1400</f>
        <v>-1400</v>
      </c>
      <c r="O16" s="52">
        <v>0</v>
      </c>
      <c r="P16" s="31">
        <f>SUM(B16:O16)</f>
        <v>-3096692</v>
      </c>
      <c r="Q16" s="414" t="s">
        <v>1326</v>
      </c>
      <c r="R16" s="52"/>
      <c r="S16" s="52">
        <f>'Conso C adjs'!E24</f>
        <v>300000</v>
      </c>
      <c r="T16" s="31">
        <v>0</v>
      </c>
      <c r="V16" s="31">
        <f>P16-R16+S16-R17+S17-R18+S18-R19+S19-R20+S20-R21+S21-R22+S22-R23+S23-R24+S24-R25+S25</f>
        <v>-2377079</v>
      </c>
      <c r="W16" s="31">
        <v>0</v>
      </c>
      <c r="X16" s="51">
        <f>SUM(Y16:AB16)</f>
        <v>-3096692</v>
      </c>
      <c r="Y16" s="51">
        <f>G16+H16+I16+J16+M16</f>
        <v>-2135551</v>
      </c>
      <c r="Z16" s="51">
        <f>D16+E16+F16+K16</f>
        <v>-51696</v>
      </c>
      <c r="AA16" s="51">
        <f>B16+L16+N16+O16</f>
        <v>-435885</v>
      </c>
      <c r="AB16" s="51">
        <f>C16</f>
        <v>-473560</v>
      </c>
      <c r="AD16" s="57">
        <v>-2377</v>
      </c>
      <c r="AE16" s="52">
        <v>-15696</v>
      </c>
      <c r="AF16" s="52">
        <f>AD16-AE16</f>
        <v>13319</v>
      </c>
      <c r="AG16" s="52">
        <v>-6000</v>
      </c>
      <c r="AI16" s="236">
        <f>-13565-2588-1</f>
        <v>-16154</v>
      </c>
      <c r="AJ16" s="221">
        <v>-10154</v>
      </c>
      <c r="AK16" s="52"/>
      <c r="AL16" s="52"/>
      <c r="AM16" s="222"/>
      <c r="AN16" s="222">
        <f>AJ16+AK16+AL16+AM16</f>
        <v>-10154</v>
      </c>
      <c r="AO16" s="208">
        <f>AI16-AN16</f>
        <v>-6000</v>
      </c>
    </row>
    <row r="17" spans="1:41" x14ac:dyDescent="0.2">
      <c r="B17" s="52"/>
      <c r="C17" s="52"/>
      <c r="D17" s="52"/>
      <c r="E17" s="109"/>
      <c r="F17" s="52"/>
      <c r="G17" s="52"/>
      <c r="H17" s="52"/>
      <c r="I17" s="52"/>
      <c r="J17" s="52"/>
      <c r="K17" s="52"/>
      <c r="L17" s="52"/>
      <c r="M17" s="52"/>
      <c r="N17" s="52"/>
      <c r="O17" s="52"/>
      <c r="Q17" s="414" t="s">
        <v>1326</v>
      </c>
      <c r="R17" s="52"/>
      <c r="S17" s="52">
        <f>'Conso C adjs'!E25</f>
        <v>150000</v>
      </c>
      <c r="W17" s="31"/>
      <c r="X17" s="51"/>
      <c r="Y17" s="51"/>
      <c r="Z17" s="51"/>
      <c r="AA17" s="51"/>
      <c r="AB17" s="51"/>
      <c r="AD17" s="31"/>
      <c r="AE17" s="31"/>
      <c r="AF17" s="31"/>
      <c r="AG17" s="52"/>
      <c r="AI17" s="236"/>
      <c r="AJ17" s="221"/>
      <c r="AK17" s="52"/>
      <c r="AL17" s="52"/>
      <c r="AM17" s="222"/>
      <c r="AN17" s="222"/>
    </row>
    <row r="18" spans="1:41" x14ac:dyDescent="0.2">
      <c r="B18" s="52"/>
      <c r="C18" s="52"/>
      <c r="D18" s="52"/>
      <c r="E18" s="109"/>
      <c r="F18" s="52"/>
      <c r="G18" s="52"/>
      <c r="H18" s="52"/>
      <c r="I18" s="52"/>
      <c r="J18" s="52"/>
      <c r="K18" s="52"/>
      <c r="L18" s="52"/>
      <c r="M18" s="52"/>
      <c r="N18" s="52"/>
      <c r="O18" s="52"/>
      <c r="Q18" s="414" t="s">
        <v>1327</v>
      </c>
      <c r="R18" s="52"/>
      <c r="S18" s="52">
        <f>'Conso C adjs'!$E$31</f>
        <v>360000</v>
      </c>
      <c r="W18" s="31"/>
      <c r="X18" s="51"/>
      <c r="Y18" s="51"/>
      <c r="Z18" s="51"/>
      <c r="AA18" s="51"/>
      <c r="AB18" s="51"/>
      <c r="AD18" s="31"/>
      <c r="AE18" s="31"/>
      <c r="AF18" s="31"/>
      <c r="AG18" s="52"/>
      <c r="AI18" s="236"/>
      <c r="AJ18" s="221"/>
      <c r="AK18" s="52"/>
      <c r="AL18" s="52"/>
      <c r="AM18" s="222"/>
      <c r="AN18" s="222"/>
    </row>
    <row r="19" spans="1:41" x14ac:dyDescent="0.2">
      <c r="B19" s="52"/>
      <c r="C19" s="52"/>
      <c r="D19" s="52"/>
      <c r="E19" s="109"/>
      <c r="F19" s="52"/>
      <c r="G19" s="52"/>
      <c r="H19" s="52"/>
      <c r="I19" s="52"/>
      <c r="J19" s="52"/>
      <c r="K19" s="52"/>
      <c r="L19" s="52"/>
      <c r="M19" s="52"/>
      <c r="N19" s="52"/>
      <c r="O19" s="52"/>
      <c r="Q19" s="411" t="s">
        <v>1331</v>
      </c>
      <c r="R19" s="52">
        <f>'Conso C adjs'!$D$53</f>
        <v>90387</v>
      </c>
      <c r="S19" s="52"/>
      <c r="W19" s="31"/>
      <c r="X19" s="51"/>
      <c r="Y19" s="51"/>
      <c r="Z19" s="51"/>
      <c r="AA19" s="51"/>
      <c r="AB19" s="51"/>
      <c r="AD19" s="31"/>
      <c r="AE19" s="31"/>
      <c r="AF19" s="31"/>
      <c r="AG19" s="52"/>
      <c r="AI19" s="236"/>
      <c r="AJ19" s="221"/>
      <c r="AK19" s="52"/>
      <c r="AL19" s="52"/>
      <c r="AM19" s="222"/>
      <c r="AN19" s="222"/>
    </row>
    <row r="20" spans="1:41" x14ac:dyDescent="0.2">
      <c r="B20" s="52"/>
      <c r="C20" s="52"/>
      <c r="D20" s="52"/>
      <c r="E20" s="109"/>
      <c r="F20" s="52"/>
      <c r="G20" s="52"/>
      <c r="H20" s="52"/>
      <c r="I20" s="52"/>
      <c r="J20" s="52"/>
      <c r="K20" s="52"/>
      <c r="L20" s="52"/>
      <c r="M20" s="52"/>
      <c r="N20" s="52"/>
      <c r="O20" s="52"/>
      <c r="R20" s="52"/>
      <c r="S20" s="52"/>
      <c r="W20" s="31"/>
      <c r="X20" s="51"/>
      <c r="Y20" s="51"/>
      <c r="Z20" s="51"/>
      <c r="AA20" s="51"/>
      <c r="AB20" s="51"/>
      <c r="AD20" s="31"/>
      <c r="AE20" s="31"/>
      <c r="AF20" s="31"/>
      <c r="AG20" s="52"/>
      <c r="AI20" s="236"/>
      <c r="AJ20" s="221"/>
      <c r="AK20" s="52"/>
      <c r="AL20" s="52"/>
      <c r="AM20" s="222"/>
      <c r="AN20" s="222"/>
    </row>
    <row r="21" spans="1:41" x14ac:dyDescent="0.2">
      <c r="B21" s="52"/>
      <c r="C21" s="52"/>
      <c r="D21" s="52"/>
      <c r="E21" s="109"/>
      <c r="F21" s="52"/>
      <c r="G21" s="52"/>
      <c r="H21" s="52"/>
      <c r="I21" s="52"/>
      <c r="J21" s="52"/>
      <c r="K21" s="52"/>
      <c r="L21" s="52"/>
      <c r="M21" s="52"/>
      <c r="N21" s="52"/>
      <c r="O21" s="52"/>
      <c r="R21" s="52"/>
      <c r="S21" s="52"/>
      <c r="W21" s="31"/>
      <c r="X21" s="51"/>
      <c r="Y21" s="51"/>
      <c r="Z21" s="51"/>
      <c r="AA21" s="51"/>
      <c r="AB21" s="51"/>
      <c r="AD21" s="31"/>
      <c r="AE21" s="31"/>
      <c r="AF21" s="31"/>
      <c r="AG21" s="52"/>
      <c r="AI21" s="236"/>
      <c r="AJ21" s="221"/>
      <c r="AK21" s="52"/>
      <c r="AL21" s="52"/>
      <c r="AM21" s="222"/>
      <c r="AN21" s="222"/>
    </row>
    <row r="22" spans="1:41" x14ac:dyDescent="0.2">
      <c r="B22" s="52"/>
      <c r="C22" s="52"/>
      <c r="D22" s="52"/>
      <c r="E22" s="109"/>
      <c r="F22" s="52"/>
      <c r="G22" s="52"/>
      <c r="H22" s="52"/>
      <c r="I22" s="52"/>
      <c r="J22" s="52"/>
      <c r="K22" s="52"/>
      <c r="L22" s="52"/>
      <c r="M22" s="52"/>
      <c r="N22" s="52"/>
      <c r="O22" s="52"/>
      <c r="R22" s="52"/>
      <c r="S22" s="52"/>
      <c r="W22" s="31"/>
      <c r="X22" s="51"/>
      <c r="Y22" s="51"/>
      <c r="Z22" s="51"/>
      <c r="AA22" s="51"/>
      <c r="AB22" s="51"/>
      <c r="AD22" s="31"/>
      <c r="AE22" s="31"/>
      <c r="AF22" s="31"/>
      <c r="AG22" s="52"/>
      <c r="AI22" s="236"/>
      <c r="AJ22" s="221"/>
      <c r="AK22" s="52"/>
      <c r="AL22" s="52"/>
      <c r="AM22" s="222"/>
      <c r="AN22" s="222"/>
    </row>
    <row r="23" spans="1:41" x14ac:dyDescent="0.2">
      <c r="B23" s="52"/>
      <c r="C23" s="52"/>
      <c r="D23" s="52"/>
      <c r="E23" s="109"/>
      <c r="F23" s="52"/>
      <c r="G23" s="52"/>
      <c r="H23" s="52"/>
      <c r="I23" s="52"/>
      <c r="J23" s="52"/>
      <c r="K23" s="52"/>
      <c r="L23" s="52"/>
      <c r="M23" s="52"/>
      <c r="N23" s="52"/>
      <c r="O23" s="52"/>
      <c r="R23" s="52"/>
      <c r="S23" s="52"/>
      <c r="W23" s="31"/>
      <c r="X23" s="51"/>
      <c r="Y23" s="51"/>
      <c r="Z23" s="51"/>
      <c r="AA23" s="51"/>
      <c r="AB23" s="51"/>
      <c r="AD23" s="31"/>
      <c r="AE23" s="31"/>
      <c r="AF23" s="31"/>
      <c r="AG23" s="52"/>
      <c r="AI23" s="236"/>
      <c r="AJ23" s="221"/>
      <c r="AK23" s="52"/>
      <c r="AL23" s="52"/>
      <c r="AM23" s="222"/>
      <c r="AN23" s="222"/>
    </row>
    <row r="24" spans="1:41" x14ac:dyDescent="0.2">
      <c r="B24" s="52"/>
      <c r="C24" s="52"/>
      <c r="D24" s="52"/>
      <c r="E24" s="109"/>
      <c r="F24" s="52"/>
      <c r="G24" s="52"/>
      <c r="H24" s="52"/>
      <c r="I24" s="52"/>
      <c r="J24" s="52"/>
      <c r="K24" s="52"/>
      <c r="L24" s="52"/>
      <c r="M24" s="52"/>
      <c r="N24" s="52"/>
      <c r="O24" s="52"/>
      <c r="R24" s="52"/>
      <c r="S24" s="52"/>
      <c r="W24" s="31"/>
      <c r="X24" s="51"/>
      <c r="Y24" s="51"/>
      <c r="Z24" s="51"/>
      <c r="AA24" s="51"/>
      <c r="AB24" s="51"/>
      <c r="AD24" s="31"/>
      <c r="AE24" s="31"/>
      <c r="AF24" s="31"/>
      <c r="AG24" s="52"/>
      <c r="AI24" s="236"/>
      <c r="AJ24" s="221"/>
      <c r="AK24" s="52"/>
      <c r="AL24" s="52"/>
      <c r="AM24" s="222"/>
      <c r="AN24" s="222"/>
    </row>
    <row r="25" spans="1:41" x14ac:dyDescent="0.2">
      <c r="B25" s="52"/>
      <c r="C25" s="52"/>
      <c r="D25" s="52"/>
      <c r="E25" s="109"/>
      <c r="F25" s="52"/>
      <c r="G25" s="52"/>
      <c r="H25" s="52"/>
      <c r="I25" s="52"/>
      <c r="J25" s="52"/>
      <c r="K25" s="52"/>
      <c r="L25" s="52"/>
      <c r="M25" s="52"/>
      <c r="N25" s="52"/>
      <c r="O25" s="52"/>
      <c r="R25" s="52"/>
      <c r="S25" s="52"/>
      <c r="W25" s="31"/>
      <c r="X25" s="51"/>
      <c r="Y25" s="51"/>
      <c r="Z25" s="51"/>
      <c r="AA25" s="51"/>
      <c r="AB25" s="51"/>
      <c r="AD25" s="31"/>
      <c r="AE25" s="31"/>
      <c r="AF25" s="31"/>
      <c r="AG25" s="52"/>
      <c r="AI25" s="236"/>
      <c r="AJ25" s="221"/>
      <c r="AK25" s="52"/>
      <c r="AL25" s="52"/>
      <c r="AM25" s="222"/>
      <c r="AN25" s="222"/>
    </row>
    <row r="26" spans="1:41" x14ac:dyDescent="0.2">
      <c r="B26" s="209"/>
      <c r="C26" s="209"/>
      <c r="D26" s="209"/>
      <c r="E26" s="369"/>
      <c r="F26" s="209"/>
      <c r="G26" s="209">
        <v>0</v>
      </c>
      <c r="H26" s="209"/>
      <c r="I26" s="209"/>
      <c r="J26" s="209"/>
      <c r="K26" s="209"/>
      <c r="L26" s="209"/>
      <c r="M26" s="209"/>
      <c r="N26" s="209"/>
      <c r="O26" s="209"/>
      <c r="P26" s="36">
        <f>SUM(B26:O26)</f>
        <v>0</v>
      </c>
      <c r="Q26" s="412"/>
      <c r="R26" s="209"/>
      <c r="S26" s="209"/>
      <c r="T26" s="36"/>
      <c r="U26" s="36"/>
      <c r="V26" s="36">
        <f>P26-R26+S26</f>
        <v>0</v>
      </c>
      <c r="W26" s="36"/>
      <c r="X26" s="70"/>
      <c r="Y26" s="70">
        <f>G26+H26+I26+J26+M26</f>
        <v>0</v>
      </c>
      <c r="Z26" s="70"/>
      <c r="AA26" s="70"/>
      <c r="AB26" s="70"/>
      <c r="AC26" s="94"/>
      <c r="AD26" s="36">
        <v>0</v>
      </c>
      <c r="AE26" s="36">
        <v>0</v>
      </c>
      <c r="AF26" s="36">
        <f>AD26-AE26</f>
        <v>0</v>
      </c>
      <c r="AG26" s="52"/>
      <c r="AI26" s="237"/>
      <c r="AJ26" s="223"/>
      <c r="AK26" s="209"/>
      <c r="AL26" s="209"/>
      <c r="AM26" s="224"/>
      <c r="AN26" s="224"/>
      <c r="AO26" s="209"/>
    </row>
    <row r="27" spans="1:41" x14ac:dyDescent="0.2">
      <c r="A27" s="33" t="s">
        <v>106</v>
      </c>
      <c r="B27" s="52">
        <f>SUM(B9:B26)</f>
        <v>-433038</v>
      </c>
      <c r="C27" s="52">
        <f t="shared" ref="C27:O27" si="1">SUM(C9:C26)</f>
        <v>-138228</v>
      </c>
      <c r="D27" s="52">
        <f t="shared" si="1"/>
        <v>12237</v>
      </c>
      <c r="E27" s="109">
        <f t="shared" si="1"/>
        <v>0</v>
      </c>
      <c r="F27" s="52">
        <f t="shared" si="1"/>
        <v>-8944</v>
      </c>
      <c r="G27" s="52">
        <f t="shared" si="1"/>
        <v>364853</v>
      </c>
      <c r="H27" s="52">
        <f t="shared" si="1"/>
        <v>-929087</v>
      </c>
      <c r="I27" s="52">
        <f t="shared" si="1"/>
        <v>0</v>
      </c>
      <c r="J27" s="52">
        <f t="shared" si="1"/>
        <v>-53</v>
      </c>
      <c r="K27" s="52">
        <f t="shared" si="1"/>
        <v>-1674</v>
      </c>
      <c r="L27" s="52">
        <f t="shared" si="1"/>
        <v>-1400</v>
      </c>
      <c r="M27" s="52">
        <f t="shared" si="1"/>
        <v>-281264</v>
      </c>
      <c r="N27" s="52">
        <f t="shared" si="1"/>
        <v>-1400</v>
      </c>
      <c r="O27" s="52">
        <f t="shared" si="1"/>
        <v>0</v>
      </c>
      <c r="P27" s="31">
        <f>SUM(P9:P26)</f>
        <v>-1417998</v>
      </c>
      <c r="T27" s="31">
        <f>SUM(T9:T26)</f>
        <v>0</v>
      </c>
      <c r="U27" s="31">
        <f>SUM(U9:U26)</f>
        <v>0</v>
      </c>
      <c r="V27" s="31">
        <f>SUM(V9:V26)</f>
        <v>-1667956</v>
      </c>
      <c r="W27" s="31">
        <f>SUM(W9:W16)</f>
        <v>0</v>
      </c>
      <c r="X27" s="51">
        <f t="shared" ref="X27:X32" si="2">SUM(Y27:AB27)</f>
        <v>-1417998</v>
      </c>
      <c r="Y27" s="51">
        <f>SUM(Y9:Y26)</f>
        <v>-845551</v>
      </c>
      <c r="Z27" s="51">
        <f>SUM(Z9:Z26)</f>
        <v>1619</v>
      </c>
      <c r="AA27" s="51">
        <f>SUM(AA9:AA26)</f>
        <v>-435838</v>
      </c>
      <c r="AB27" s="51">
        <f>SUM(AB9:AB26)</f>
        <v>-138228</v>
      </c>
      <c r="AD27" s="31">
        <f>SUM(AD9:AD26)</f>
        <v>-1668</v>
      </c>
      <c r="AE27" s="31">
        <f>SUM(AE9:AE26)</f>
        <v>-9067</v>
      </c>
      <c r="AF27" s="31">
        <f>SUM(AF9:AF26)</f>
        <v>7399</v>
      </c>
      <c r="AG27" s="52">
        <f>SUM(AG9:AG26)</f>
        <v>-3498</v>
      </c>
      <c r="AI27" s="238">
        <f>SUM(AI9:AI26)</f>
        <v>-2894</v>
      </c>
      <c r="AJ27" s="221">
        <f>SUM(AJ9:AJ26)</f>
        <v>604</v>
      </c>
      <c r="AK27" s="52"/>
      <c r="AL27" s="52"/>
      <c r="AM27" s="222"/>
      <c r="AN27" s="222">
        <f>SUM(AN9:AN26)</f>
        <v>604</v>
      </c>
      <c r="AO27" s="52">
        <f>SUM(AO9:AO26)</f>
        <v>-3498</v>
      </c>
    </row>
    <row r="28" spans="1:41" x14ac:dyDescent="0.2">
      <c r="A28" s="33"/>
      <c r="B28" s="52"/>
      <c r="C28" s="52"/>
      <c r="D28" s="52"/>
      <c r="E28" s="109"/>
      <c r="F28" s="52"/>
      <c r="G28" s="52"/>
      <c r="H28" s="52"/>
      <c r="I28" s="52"/>
      <c r="J28" s="52"/>
      <c r="K28" s="52"/>
      <c r="L28" s="52"/>
      <c r="M28" s="52"/>
      <c r="N28" s="52"/>
      <c r="O28" s="52"/>
      <c r="W28" s="31"/>
      <c r="X28" s="51">
        <f t="shared" si="2"/>
        <v>0</v>
      </c>
      <c r="Y28" s="51"/>
      <c r="Z28" s="51"/>
      <c r="AA28" s="51"/>
      <c r="AD28" s="31"/>
      <c r="AE28" s="31"/>
      <c r="AF28" s="31"/>
      <c r="AG28" s="52"/>
      <c r="AI28" s="236"/>
      <c r="AJ28" s="221"/>
      <c r="AK28" s="52"/>
      <c r="AL28" s="52"/>
      <c r="AM28" s="222"/>
      <c r="AN28" s="222"/>
    </row>
    <row r="29" spans="1:41" x14ac:dyDescent="0.2">
      <c r="A29" s="64" t="s">
        <v>3</v>
      </c>
      <c r="B29" s="209">
        <f>-5628</f>
        <v>-5628</v>
      </c>
      <c r="C29" s="209">
        <f>-334571</f>
        <v>-334571</v>
      </c>
      <c r="D29" s="209">
        <v>0</v>
      </c>
      <c r="E29" s="369">
        <v>0</v>
      </c>
      <c r="F29" s="209">
        <v>0</v>
      </c>
      <c r="G29" s="209"/>
      <c r="H29" s="209">
        <f>-242238</f>
        <v>-242238</v>
      </c>
      <c r="I29" s="209">
        <v>0</v>
      </c>
      <c r="J29" s="209">
        <v>0</v>
      </c>
      <c r="K29" s="209">
        <v>0</v>
      </c>
      <c r="L29" s="209"/>
      <c r="M29" s="209">
        <v>0</v>
      </c>
      <c r="N29" s="209">
        <v>0</v>
      </c>
      <c r="O29" s="209">
        <v>0</v>
      </c>
      <c r="P29" s="36">
        <f>SUM(B29:O29)</f>
        <v>-582437</v>
      </c>
      <c r="T29" s="36">
        <v>0</v>
      </c>
      <c r="U29" s="36"/>
      <c r="V29" s="36">
        <f>P29-R29+S29</f>
        <v>-582437</v>
      </c>
      <c r="W29" s="36">
        <v>0</v>
      </c>
      <c r="X29" s="51">
        <f t="shared" si="2"/>
        <v>-582437</v>
      </c>
      <c r="Y29" s="70">
        <f>G29+H29+I29+J29+M29</f>
        <v>-242238</v>
      </c>
      <c r="Z29" s="70">
        <f>D29+E29+F29+K29</f>
        <v>0</v>
      </c>
      <c r="AA29" s="70">
        <f>B29+L29+N29+O29</f>
        <v>-5628</v>
      </c>
      <c r="AB29" s="70">
        <f>C29</f>
        <v>-334571</v>
      </c>
      <c r="AD29" s="36">
        <v>-582</v>
      </c>
      <c r="AE29" s="36">
        <v>-2160</v>
      </c>
      <c r="AF29" s="36">
        <f>AD29-AE29</f>
        <v>1578</v>
      </c>
      <c r="AG29" s="52">
        <v>-449</v>
      </c>
      <c r="AI29" s="237">
        <v>-1527</v>
      </c>
      <c r="AJ29" s="223">
        <v>-1078</v>
      </c>
      <c r="AK29" s="209"/>
      <c r="AL29" s="209"/>
      <c r="AM29" s="224"/>
      <c r="AN29" s="224">
        <f>AJ29+AK29+AL29+AM29</f>
        <v>-1078</v>
      </c>
      <c r="AO29" s="209">
        <f>AI29-AN29</f>
        <v>-449</v>
      </c>
    </row>
    <row r="30" spans="1:41" x14ac:dyDescent="0.2">
      <c r="A30" s="38" t="s">
        <v>66</v>
      </c>
      <c r="B30" s="52">
        <f t="shared" ref="B30:J30" si="3">SUM(B27:B29)</f>
        <v>-438666</v>
      </c>
      <c r="C30" s="52">
        <f t="shared" si="3"/>
        <v>-472799</v>
      </c>
      <c r="D30" s="52">
        <f t="shared" si="3"/>
        <v>12237</v>
      </c>
      <c r="E30" s="109">
        <f t="shared" si="3"/>
        <v>0</v>
      </c>
      <c r="F30" s="52">
        <f t="shared" si="3"/>
        <v>-8944</v>
      </c>
      <c r="G30" s="52">
        <f t="shared" si="3"/>
        <v>364853</v>
      </c>
      <c r="H30" s="52">
        <f t="shared" si="3"/>
        <v>-1171325</v>
      </c>
      <c r="I30" s="52">
        <f t="shared" si="3"/>
        <v>0</v>
      </c>
      <c r="J30" s="52">
        <f t="shared" si="3"/>
        <v>-53</v>
      </c>
      <c r="K30" s="52">
        <f t="shared" ref="K30:W30" si="4">SUM(K27:K29)</f>
        <v>-1674</v>
      </c>
      <c r="L30" s="52">
        <f t="shared" si="4"/>
        <v>-1400</v>
      </c>
      <c r="M30" s="52">
        <f t="shared" si="4"/>
        <v>-281264</v>
      </c>
      <c r="N30" s="52">
        <f t="shared" si="4"/>
        <v>-1400</v>
      </c>
      <c r="O30" s="52">
        <f t="shared" si="4"/>
        <v>0</v>
      </c>
      <c r="P30" s="31">
        <f t="shared" si="4"/>
        <v>-2000435</v>
      </c>
      <c r="T30" s="31">
        <f t="shared" si="4"/>
        <v>0</v>
      </c>
      <c r="U30" s="31">
        <f t="shared" si="4"/>
        <v>0</v>
      </c>
      <c r="V30" s="31">
        <f>SUM(V27:V29)</f>
        <v>-2250393</v>
      </c>
      <c r="W30" s="31">
        <f t="shared" si="4"/>
        <v>0</v>
      </c>
      <c r="X30" s="51">
        <f t="shared" si="2"/>
        <v>-2000435</v>
      </c>
      <c r="Y30" s="51">
        <f>SUM(Y27:Y29)</f>
        <v>-1087789</v>
      </c>
      <c r="Z30" s="51">
        <f>SUM(Z27:Z29)</f>
        <v>1619</v>
      </c>
      <c r="AA30" s="51">
        <f>SUM(AA27:AA29)</f>
        <v>-441466</v>
      </c>
      <c r="AB30" s="51">
        <f>SUM(AB27:AB29)</f>
        <v>-472799</v>
      </c>
      <c r="AD30" s="31">
        <f>SUM(AD27:AD29)</f>
        <v>-2250</v>
      </c>
      <c r="AE30" s="31">
        <f>SUM(AE27:AE29)</f>
        <v>-11227</v>
      </c>
      <c r="AF30" s="31">
        <f>SUM(AF27:AF29)</f>
        <v>8977</v>
      </c>
      <c r="AG30" s="52">
        <f>SUM(AG27:AG29)</f>
        <v>-3947</v>
      </c>
      <c r="AI30" s="238">
        <f>SUM(AI27:AI29)</f>
        <v>-4421</v>
      </c>
      <c r="AJ30" s="221">
        <f>SUM(AJ27:AJ29)</f>
        <v>-474</v>
      </c>
      <c r="AK30" s="52"/>
      <c r="AL30" s="52"/>
      <c r="AM30" s="222"/>
      <c r="AN30" s="222">
        <f>SUM(AN27:AN29)</f>
        <v>-474</v>
      </c>
      <c r="AO30" s="52">
        <f>SUM(AO27:AO29)</f>
        <v>-3947</v>
      </c>
    </row>
    <row r="31" spans="1:41" x14ac:dyDescent="0.2">
      <c r="A31" s="33"/>
      <c r="B31" s="52"/>
      <c r="C31" s="52"/>
      <c r="D31" s="52"/>
      <c r="E31" s="109"/>
      <c r="F31" s="52"/>
      <c r="G31" s="52"/>
      <c r="H31" s="52"/>
      <c r="I31" s="52"/>
      <c r="J31" s="52"/>
      <c r="K31" s="52"/>
      <c r="L31" s="52"/>
      <c r="M31" s="52"/>
      <c r="N31" s="52"/>
      <c r="O31" s="52"/>
      <c r="W31" s="31"/>
      <c r="X31" s="51">
        <f t="shared" si="2"/>
        <v>0</v>
      </c>
      <c r="Y31" s="51"/>
      <c r="Z31" s="51"/>
      <c r="AA31" s="51"/>
      <c r="AD31" s="31"/>
      <c r="AE31" s="31"/>
      <c r="AF31" s="31"/>
      <c r="AG31" s="52"/>
      <c r="AI31" s="236"/>
      <c r="AJ31" s="221"/>
      <c r="AK31" s="52"/>
      <c r="AL31" s="52"/>
      <c r="AM31" s="222"/>
      <c r="AN31" s="222"/>
    </row>
    <row r="32" spans="1:41" x14ac:dyDescent="0.2">
      <c r="A32" s="34" t="s">
        <v>107</v>
      </c>
      <c r="B32" s="52">
        <v>0</v>
      </c>
      <c r="C32" s="52">
        <v>0</v>
      </c>
      <c r="D32" s="52">
        <v>0</v>
      </c>
      <c r="E32" s="109">
        <v>0</v>
      </c>
      <c r="F32" s="52">
        <v>0</v>
      </c>
      <c r="G32" s="52">
        <v>0</v>
      </c>
      <c r="H32" s="52">
        <v>0</v>
      </c>
      <c r="I32" s="52">
        <v>0</v>
      </c>
      <c r="J32" s="52">
        <v>0</v>
      </c>
      <c r="K32" s="52">
        <v>0</v>
      </c>
      <c r="L32" s="52">
        <v>0</v>
      </c>
      <c r="M32" s="52">
        <v>0</v>
      </c>
      <c r="N32" s="52">
        <v>0</v>
      </c>
      <c r="O32" s="52">
        <v>0</v>
      </c>
      <c r="P32" s="31">
        <f>SUM(B32:O32)</f>
        <v>0</v>
      </c>
      <c r="Q32" s="411" t="s">
        <v>1331</v>
      </c>
      <c r="S32" s="31">
        <f>'Conso C adjs'!$E$55</f>
        <v>19654</v>
      </c>
      <c r="T32" s="31">
        <v>0</v>
      </c>
      <c r="V32" s="31">
        <f>P32-R32+S32-R33+S33</f>
        <v>19654</v>
      </c>
      <c r="W32" s="31">
        <v>0</v>
      </c>
      <c r="X32" s="51">
        <f t="shared" si="2"/>
        <v>0</v>
      </c>
      <c r="Y32" s="51">
        <f>G32+H32+I32+J32+M32</f>
        <v>0</v>
      </c>
      <c r="Z32" s="51">
        <f>D32+E32+F32+K32</f>
        <v>0</v>
      </c>
      <c r="AA32" s="51">
        <f>B32+L32+N32+O32</f>
        <v>0</v>
      </c>
      <c r="AB32" s="51">
        <f>C32</f>
        <v>0</v>
      </c>
      <c r="AD32" s="31">
        <v>20</v>
      </c>
      <c r="AE32" s="31">
        <v>-418</v>
      </c>
      <c r="AF32" s="31">
        <f>AD32-AE32</f>
        <v>438</v>
      </c>
      <c r="AG32" s="52">
        <v>-819</v>
      </c>
      <c r="AI32" s="208">
        <v>-1979</v>
      </c>
      <c r="AJ32" s="52">
        <v>-1160</v>
      </c>
      <c r="AK32" s="52"/>
      <c r="AL32" s="52"/>
      <c r="AM32" s="52"/>
      <c r="AN32" s="52">
        <f>AJ32+AK32+AL32+AM32</f>
        <v>-1160</v>
      </c>
      <c r="AO32" s="52">
        <f>AI32-AN32</f>
        <v>-819</v>
      </c>
    </row>
    <row r="33" spans="1:41" x14ac:dyDescent="0.2">
      <c r="A33" s="34"/>
      <c r="B33" s="52"/>
      <c r="C33" s="52"/>
      <c r="D33" s="52"/>
      <c r="E33" s="109"/>
      <c r="F33" s="52"/>
      <c r="G33" s="52"/>
      <c r="H33" s="52"/>
      <c r="I33" s="52"/>
      <c r="J33" s="52"/>
      <c r="K33" s="52"/>
      <c r="L33" s="52"/>
      <c r="M33" s="52"/>
      <c r="N33" s="52"/>
      <c r="O33" s="52"/>
      <c r="S33" s="361"/>
      <c r="W33" s="31"/>
      <c r="X33" s="51"/>
      <c r="Y33" s="51"/>
      <c r="Z33" s="51"/>
      <c r="AA33" s="51"/>
      <c r="AB33" s="51"/>
      <c r="AD33" s="31"/>
      <c r="AE33" s="31"/>
      <c r="AF33" s="31"/>
      <c r="AG33" s="52"/>
      <c r="AI33" s="208"/>
      <c r="AJ33" s="52"/>
      <c r="AK33" s="52"/>
      <c r="AL33" s="52"/>
      <c r="AM33" s="52"/>
      <c r="AN33" s="52"/>
      <c r="AO33" s="52"/>
    </row>
    <row r="34" spans="1:41" x14ac:dyDescent="0.2">
      <c r="A34" s="34"/>
      <c r="B34" s="209"/>
      <c r="C34" s="209"/>
      <c r="D34" s="209"/>
      <c r="E34" s="369"/>
      <c r="F34" s="209"/>
      <c r="G34" s="209"/>
      <c r="H34" s="209"/>
      <c r="I34" s="209"/>
      <c r="J34" s="209"/>
      <c r="K34" s="209"/>
      <c r="L34" s="209"/>
      <c r="M34" s="209"/>
      <c r="N34" s="209"/>
      <c r="O34" s="209"/>
      <c r="P34" s="36"/>
      <c r="Q34" s="412"/>
      <c r="R34" s="36"/>
      <c r="S34" s="36"/>
      <c r="T34" s="36"/>
      <c r="U34" s="36"/>
      <c r="V34" s="36"/>
      <c r="W34" s="36"/>
      <c r="X34" s="70"/>
      <c r="Y34" s="70"/>
      <c r="Z34" s="70"/>
      <c r="AA34" s="70"/>
      <c r="AB34" s="70"/>
      <c r="AC34" s="94"/>
      <c r="AD34" s="36"/>
      <c r="AE34" s="36"/>
      <c r="AF34" s="36"/>
      <c r="AG34" s="209"/>
      <c r="AH34" s="94"/>
      <c r="AI34" s="237"/>
      <c r="AJ34" s="223"/>
      <c r="AK34" s="209"/>
      <c r="AL34" s="209"/>
      <c r="AM34" s="224"/>
      <c r="AN34" s="224"/>
      <c r="AO34" s="209"/>
    </row>
    <row r="35" spans="1:41" x14ac:dyDescent="0.2">
      <c r="A35" s="33" t="s">
        <v>67</v>
      </c>
      <c r="B35" s="52">
        <f t="shared" ref="B35:J35" si="5">SUM(B30:B32)</f>
        <v>-438666</v>
      </c>
      <c r="C35" s="52">
        <f t="shared" si="5"/>
        <v>-472799</v>
      </c>
      <c r="D35" s="52">
        <f t="shared" si="5"/>
        <v>12237</v>
      </c>
      <c r="E35" s="109">
        <f t="shared" si="5"/>
        <v>0</v>
      </c>
      <c r="F35" s="52">
        <f t="shared" si="5"/>
        <v>-8944</v>
      </c>
      <c r="G35" s="52">
        <f t="shared" si="5"/>
        <v>364853</v>
      </c>
      <c r="H35" s="52">
        <f t="shared" si="5"/>
        <v>-1171325</v>
      </c>
      <c r="I35" s="52">
        <f t="shared" si="5"/>
        <v>0</v>
      </c>
      <c r="J35" s="52">
        <f t="shared" si="5"/>
        <v>-53</v>
      </c>
      <c r="K35" s="52">
        <f t="shared" ref="K35:W35" si="6">SUM(K30:K32)</f>
        <v>-1674</v>
      </c>
      <c r="L35" s="52">
        <f t="shared" si="6"/>
        <v>-1400</v>
      </c>
      <c r="M35" s="52">
        <f t="shared" si="6"/>
        <v>-281264</v>
      </c>
      <c r="N35" s="52">
        <f t="shared" si="6"/>
        <v>-1400</v>
      </c>
      <c r="O35" s="52">
        <f t="shared" si="6"/>
        <v>0</v>
      </c>
      <c r="P35" s="31">
        <f t="shared" si="6"/>
        <v>-2000435</v>
      </c>
      <c r="R35" s="31">
        <f>SUM(R7:R33)</f>
        <v>1059958</v>
      </c>
      <c r="S35" s="31">
        <f>SUM(S7:S33)</f>
        <v>829654</v>
      </c>
      <c r="T35" s="31">
        <f t="shared" si="6"/>
        <v>0</v>
      </c>
      <c r="U35" s="31">
        <f t="shared" si="6"/>
        <v>0</v>
      </c>
      <c r="V35" s="356">
        <f>SUM(V30:V32)</f>
        <v>-2230739</v>
      </c>
      <c r="W35" s="31">
        <f t="shared" si="6"/>
        <v>0</v>
      </c>
      <c r="X35" s="51">
        <f>SUM(Y35:AB35)</f>
        <v>-2000435</v>
      </c>
      <c r="Y35" s="51">
        <f>SUM(Y30:Y32)</f>
        <v>-1087789</v>
      </c>
      <c r="Z35" s="51">
        <f>SUM(Z30:Z32)</f>
        <v>1619</v>
      </c>
      <c r="AA35" s="51">
        <f>SUM(AA30:AA32)</f>
        <v>-441466</v>
      </c>
      <c r="AB35" s="51">
        <f>SUM(AB30:AB32)</f>
        <v>-472799</v>
      </c>
      <c r="AD35" s="31">
        <f>SUM(AD30:AD32)</f>
        <v>-2230</v>
      </c>
      <c r="AE35" s="31">
        <f>SUM(AE30:AE32)</f>
        <v>-11645</v>
      </c>
      <c r="AF35" s="31">
        <f>SUM(AF30:AF32)</f>
        <v>9415</v>
      </c>
      <c r="AG35" s="52">
        <f>SUM(AG30:AG32)</f>
        <v>-4766</v>
      </c>
      <c r="AI35" s="238">
        <f>SUM(AI30:AI32)</f>
        <v>-6400</v>
      </c>
      <c r="AJ35" s="221">
        <f>SUM(AJ30:AJ32)</f>
        <v>-1634</v>
      </c>
      <c r="AK35" s="52"/>
      <c r="AL35" s="52"/>
      <c r="AM35" s="222"/>
      <c r="AN35" s="222">
        <f>SUM(AN30:AN32)</f>
        <v>-1634</v>
      </c>
      <c r="AO35" s="52">
        <f>SUM(AO30:AO32)</f>
        <v>-4766</v>
      </c>
    </row>
    <row r="36" spans="1:41" x14ac:dyDescent="0.2">
      <c r="A36" s="34"/>
      <c r="B36" s="52"/>
      <c r="C36" s="52"/>
      <c r="D36" s="52"/>
      <c r="E36" s="109"/>
      <c r="F36" s="52"/>
      <c r="G36" s="109"/>
      <c r="H36" s="52"/>
      <c r="I36" s="52"/>
      <c r="J36" s="52"/>
      <c r="K36" s="52"/>
      <c r="L36" s="52"/>
      <c r="M36" s="52"/>
      <c r="N36" s="52"/>
      <c r="O36" s="52"/>
      <c r="W36" s="31"/>
      <c r="X36" s="51"/>
      <c r="Y36" s="51"/>
      <c r="Z36" s="51"/>
      <c r="AA36" s="51"/>
      <c r="AD36" s="31"/>
      <c r="AE36" s="31"/>
      <c r="AF36" s="31"/>
      <c r="AG36" s="52"/>
      <c r="AI36" s="236"/>
      <c r="AJ36" s="221"/>
      <c r="AK36" s="52"/>
      <c r="AL36" s="52"/>
      <c r="AM36" s="222"/>
      <c r="AN36" s="222"/>
    </row>
    <row r="37" spans="1:41" x14ac:dyDescent="0.2">
      <c r="A37" s="38" t="s">
        <v>1166</v>
      </c>
      <c r="B37" s="52"/>
      <c r="C37" s="52"/>
      <c r="D37" s="52"/>
      <c r="E37" s="109"/>
      <c r="F37" s="52"/>
      <c r="G37" s="52"/>
      <c r="H37" s="52"/>
      <c r="I37" s="52"/>
      <c r="J37" s="52"/>
      <c r="K37" s="52"/>
      <c r="L37" s="52"/>
      <c r="M37" s="52"/>
      <c r="N37" s="52"/>
      <c r="O37" s="52"/>
      <c r="W37" s="31"/>
      <c r="X37" s="51"/>
      <c r="Y37" s="51"/>
      <c r="Z37" s="51"/>
      <c r="AA37" s="51"/>
      <c r="AD37" s="31"/>
      <c r="AE37" s="31"/>
      <c r="AF37" s="31"/>
      <c r="AG37" s="52"/>
      <c r="AI37" s="236"/>
      <c r="AJ37" s="221"/>
      <c r="AK37" s="52"/>
      <c r="AL37" s="52"/>
      <c r="AM37" s="222"/>
      <c r="AN37" s="222"/>
    </row>
    <row r="38" spans="1:41" x14ac:dyDescent="0.2">
      <c r="A38" s="55" t="s">
        <v>1167</v>
      </c>
      <c r="B38" s="52"/>
      <c r="C38" s="52"/>
      <c r="D38" s="52"/>
      <c r="E38" s="109"/>
      <c r="F38" s="52"/>
      <c r="G38" s="52"/>
      <c r="H38" s="52"/>
      <c r="I38" s="52"/>
      <c r="J38" s="52"/>
      <c r="K38" s="52"/>
      <c r="L38" s="52"/>
      <c r="M38" s="52"/>
      <c r="N38" s="52"/>
      <c r="O38" s="52"/>
      <c r="S38" s="330"/>
      <c r="V38" s="31">
        <f>P39-R38+S38-R39+S39-R40+S40-R41+S41-R42+S42</f>
        <v>0</v>
      </c>
      <c r="W38" s="31"/>
      <c r="X38" s="51"/>
      <c r="Y38" s="51"/>
      <c r="Z38" s="51"/>
      <c r="AA38" s="51"/>
      <c r="AD38" s="31">
        <v>0</v>
      </c>
      <c r="AE38" s="31">
        <v>22142</v>
      </c>
      <c r="AF38" s="31">
        <f>AD38-AE38</f>
        <v>-22142</v>
      </c>
      <c r="AG38" s="52"/>
      <c r="AI38" s="236"/>
      <c r="AJ38" s="221"/>
      <c r="AK38" s="52"/>
      <c r="AL38" s="52"/>
      <c r="AM38" s="222"/>
      <c r="AN38" s="222"/>
    </row>
    <row r="39" spans="1:41" x14ac:dyDescent="0.2">
      <c r="A39" s="34"/>
      <c r="B39" s="52">
        <v>0</v>
      </c>
      <c r="C39" s="52">
        <v>0</v>
      </c>
      <c r="D39" s="52">
        <v>0</v>
      </c>
      <c r="E39" s="109">
        <v>0</v>
      </c>
      <c r="F39" s="52">
        <v>0</v>
      </c>
      <c r="G39" s="52">
        <v>0</v>
      </c>
      <c r="H39" s="52">
        <v>0</v>
      </c>
      <c r="I39" s="52">
        <v>0</v>
      </c>
      <c r="J39" s="52">
        <v>0</v>
      </c>
      <c r="K39" s="52">
        <v>0</v>
      </c>
      <c r="L39" s="52">
        <v>0</v>
      </c>
      <c r="M39" s="52">
        <v>0</v>
      </c>
      <c r="N39" s="52">
        <v>0</v>
      </c>
      <c r="O39" s="52">
        <v>0</v>
      </c>
      <c r="P39" s="31">
        <f>SUM(B39:O39)</f>
        <v>0</v>
      </c>
      <c r="S39" s="330"/>
      <c r="T39" s="31">
        <v>0</v>
      </c>
      <c r="W39" s="31">
        <v>0</v>
      </c>
      <c r="X39" s="31">
        <f>SUM(Y39:AB39)</f>
        <v>0</v>
      </c>
      <c r="Y39" s="31">
        <f>G39+H39+I39+J39+M39</f>
        <v>0</v>
      </c>
      <c r="Z39" s="31">
        <f>D39+E39+F39+K39</f>
        <v>0</v>
      </c>
      <c r="AA39" s="31">
        <f>B39+L39+N39+O39</f>
        <v>0</v>
      </c>
      <c r="AB39" s="31">
        <f>C39</f>
        <v>0</v>
      </c>
      <c r="AC39" s="31"/>
      <c r="AD39" s="31"/>
      <c r="AE39" s="31">
        <v>0</v>
      </c>
      <c r="AF39" s="31">
        <f>AD39-AE39</f>
        <v>0</v>
      </c>
      <c r="AG39" s="52"/>
      <c r="AI39" s="236"/>
      <c r="AJ39" s="221"/>
      <c r="AK39" s="52"/>
      <c r="AL39" s="52"/>
      <c r="AM39" s="222"/>
      <c r="AN39" s="222"/>
    </row>
    <row r="40" spans="1:41" x14ac:dyDescent="0.2">
      <c r="A40" s="34"/>
      <c r="B40" s="52"/>
      <c r="C40" s="52"/>
      <c r="D40" s="52"/>
      <c r="E40" s="109"/>
      <c r="F40" s="52"/>
      <c r="G40" s="52"/>
      <c r="H40" s="52"/>
      <c r="I40" s="52"/>
      <c r="J40" s="52"/>
      <c r="K40" s="52"/>
      <c r="L40" s="52"/>
      <c r="M40" s="52"/>
      <c r="N40" s="52"/>
      <c r="O40" s="52"/>
      <c r="R40" s="361"/>
      <c r="S40" s="330"/>
      <c r="W40" s="31"/>
      <c r="X40" s="31"/>
      <c r="Y40" s="31"/>
      <c r="Z40" s="31"/>
      <c r="AA40" s="31"/>
      <c r="AB40" s="31"/>
      <c r="AC40" s="31"/>
      <c r="AD40" s="31"/>
      <c r="AE40" s="31"/>
      <c r="AF40" s="31"/>
      <c r="AG40" s="52"/>
      <c r="AI40" s="236"/>
      <c r="AJ40" s="221"/>
      <c r="AK40" s="52"/>
      <c r="AL40" s="52"/>
      <c r="AM40" s="222"/>
      <c r="AN40" s="222"/>
    </row>
    <row r="41" spans="1:41" x14ac:dyDescent="0.2">
      <c r="A41" s="34"/>
      <c r="B41" s="52"/>
      <c r="C41" s="52"/>
      <c r="D41" s="52"/>
      <c r="E41" s="109"/>
      <c r="F41" s="52"/>
      <c r="G41" s="52"/>
      <c r="H41" s="52"/>
      <c r="I41" s="52"/>
      <c r="J41" s="52"/>
      <c r="K41" s="52"/>
      <c r="L41" s="52"/>
      <c r="M41" s="52"/>
      <c r="N41" s="52"/>
      <c r="O41" s="52"/>
      <c r="R41" s="361"/>
      <c r="S41" s="330"/>
      <c r="W41" s="31"/>
      <c r="X41" s="31"/>
      <c r="Y41" s="31"/>
      <c r="Z41" s="31"/>
      <c r="AA41" s="31"/>
      <c r="AB41" s="31"/>
      <c r="AC41" s="31"/>
      <c r="AD41" s="31"/>
      <c r="AE41" s="31"/>
      <c r="AF41" s="31"/>
      <c r="AG41" s="52"/>
      <c r="AI41" s="236"/>
      <c r="AJ41" s="221"/>
      <c r="AK41" s="52"/>
      <c r="AL41" s="52"/>
      <c r="AM41" s="222"/>
      <c r="AN41" s="222"/>
    </row>
    <row r="42" spans="1:41" x14ac:dyDescent="0.2">
      <c r="A42" s="34"/>
      <c r="B42" s="52"/>
      <c r="C42" s="52"/>
      <c r="D42" s="52"/>
      <c r="E42" s="109"/>
      <c r="F42" s="52"/>
      <c r="G42" s="52"/>
      <c r="H42" s="52"/>
      <c r="I42" s="52"/>
      <c r="J42" s="52"/>
      <c r="K42" s="52"/>
      <c r="L42" s="52"/>
      <c r="M42" s="52"/>
      <c r="N42" s="52"/>
      <c r="O42" s="52"/>
      <c r="R42" s="361"/>
      <c r="S42" s="361"/>
      <c r="W42" s="31"/>
      <c r="X42" s="31"/>
      <c r="Y42" s="31"/>
      <c r="Z42" s="31"/>
      <c r="AA42" s="31"/>
      <c r="AB42" s="31"/>
      <c r="AC42" s="31"/>
      <c r="AD42" s="31"/>
      <c r="AE42" s="31"/>
      <c r="AF42" s="31"/>
      <c r="AG42" s="52"/>
      <c r="AI42" s="236"/>
      <c r="AJ42" s="221"/>
      <c r="AK42" s="52"/>
      <c r="AL42" s="52"/>
      <c r="AM42" s="222"/>
      <c r="AN42" s="222"/>
    </row>
    <row r="43" spans="1:41" x14ac:dyDescent="0.2">
      <c r="A43" s="34"/>
      <c r="B43" s="230">
        <f>SUM(B39)</f>
        <v>0</v>
      </c>
      <c r="C43" s="230">
        <f t="shared" ref="C43:J43" si="7">SUM(C39)</f>
        <v>0</v>
      </c>
      <c r="D43" s="230">
        <f t="shared" si="7"/>
        <v>0</v>
      </c>
      <c r="E43" s="370">
        <f t="shared" si="7"/>
        <v>0</v>
      </c>
      <c r="F43" s="230">
        <f t="shared" si="7"/>
        <v>0</v>
      </c>
      <c r="G43" s="230">
        <f t="shared" si="7"/>
        <v>0</v>
      </c>
      <c r="H43" s="230">
        <f t="shared" si="7"/>
        <v>0</v>
      </c>
      <c r="I43" s="230">
        <f t="shared" si="7"/>
        <v>0</v>
      </c>
      <c r="J43" s="230">
        <f t="shared" si="7"/>
        <v>0</v>
      </c>
      <c r="K43" s="230">
        <f t="shared" ref="K43:U43" si="8">SUM(K39)</f>
        <v>0</v>
      </c>
      <c r="L43" s="230">
        <f t="shared" si="8"/>
        <v>0</v>
      </c>
      <c r="M43" s="230">
        <f t="shared" si="8"/>
        <v>0</v>
      </c>
      <c r="N43" s="230">
        <f t="shared" si="8"/>
        <v>0</v>
      </c>
      <c r="O43" s="230">
        <f>SUM(O39)</f>
        <v>0</v>
      </c>
      <c r="P43" s="35">
        <f>SUM(P39)</f>
        <v>0</v>
      </c>
      <c r="T43" s="35">
        <f t="shared" si="8"/>
        <v>0</v>
      </c>
      <c r="U43" s="35">
        <f t="shared" si="8"/>
        <v>0</v>
      </c>
      <c r="V43" s="35">
        <f>SUM(V38:V39)</f>
        <v>0</v>
      </c>
      <c r="W43" s="35">
        <f>SUM(W39)</f>
        <v>0</v>
      </c>
      <c r="X43" s="35">
        <f>SUM(Y43:AB43)</f>
        <v>0</v>
      </c>
      <c r="Y43" s="35">
        <f>SUM(Y39)</f>
        <v>0</v>
      </c>
      <c r="Z43" s="35">
        <f>SUM(Z39)</f>
        <v>0</v>
      </c>
      <c r="AA43" s="35">
        <f>SUM(AA39)</f>
        <v>0</v>
      </c>
      <c r="AB43" s="35">
        <f>SUM(AB39)</f>
        <v>0</v>
      </c>
      <c r="AC43" s="35"/>
      <c r="AD43" s="35">
        <f>SUM(AD38:AD39)</f>
        <v>0</v>
      </c>
      <c r="AE43" s="35">
        <f>SUM(AE38:AE39)</f>
        <v>22142</v>
      </c>
      <c r="AF43" s="35">
        <f>SUM(AF38:AF39)</f>
        <v>-22142</v>
      </c>
      <c r="AG43" s="35"/>
      <c r="AI43" s="236"/>
      <c r="AJ43" s="221"/>
      <c r="AK43" s="52"/>
      <c r="AL43" s="52"/>
      <c r="AM43" s="222"/>
      <c r="AN43" s="222"/>
    </row>
    <row r="44" spans="1:41" ht="12" thickBot="1" x14ac:dyDescent="0.25">
      <c r="A44" s="38" t="s">
        <v>1168</v>
      </c>
      <c r="B44" s="184">
        <f>B35+B43</f>
        <v>-438666</v>
      </c>
      <c r="C44" s="184">
        <f t="shared" ref="C44:J44" si="9">C35+C43</f>
        <v>-472799</v>
      </c>
      <c r="D44" s="184">
        <f t="shared" si="9"/>
        <v>12237</v>
      </c>
      <c r="E44" s="371">
        <f t="shared" si="9"/>
        <v>0</v>
      </c>
      <c r="F44" s="184">
        <f t="shared" si="9"/>
        <v>-8944</v>
      </c>
      <c r="G44" s="184">
        <f t="shared" si="9"/>
        <v>364853</v>
      </c>
      <c r="H44" s="184">
        <f t="shared" si="9"/>
        <v>-1171325</v>
      </c>
      <c r="I44" s="184">
        <f t="shared" si="9"/>
        <v>0</v>
      </c>
      <c r="J44" s="184">
        <f t="shared" si="9"/>
        <v>-53</v>
      </c>
      <c r="K44" s="184">
        <f t="shared" ref="K44:U44" si="10">K35+K43</f>
        <v>-1674</v>
      </c>
      <c r="L44" s="184">
        <f t="shared" si="10"/>
        <v>-1400</v>
      </c>
      <c r="M44" s="184">
        <f t="shared" si="10"/>
        <v>-281264</v>
      </c>
      <c r="N44" s="184">
        <f t="shared" si="10"/>
        <v>-1400</v>
      </c>
      <c r="O44" s="184">
        <f>O35+O43</f>
        <v>0</v>
      </c>
      <c r="P44" s="41">
        <f>P35+P43</f>
        <v>-2000435</v>
      </c>
      <c r="R44" s="31">
        <f>SUM(R36:R43)</f>
        <v>0</v>
      </c>
      <c r="S44" s="31">
        <f>SUM(S36:S43)</f>
        <v>0</v>
      </c>
      <c r="T44" s="41">
        <f t="shared" si="10"/>
        <v>0</v>
      </c>
      <c r="U44" s="41">
        <f t="shared" si="10"/>
        <v>0</v>
      </c>
      <c r="V44" s="41">
        <f>V35+V43</f>
        <v>-2230739</v>
      </c>
      <c r="W44" s="41">
        <f>W35+W43</f>
        <v>0</v>
      </c>
      <c r="X44" s="51">
        <f>SUM(Y44:AB44)</f>
        <v>-2000435</v>
      </c>
      <c r="Y44" s="41">
        <f>Y35+Y43</f>
        <v>-1087789</v>
      </c>
      <c r="Z44" s="41">
        <f>Z35+Z43</f>
        <v>1619</v>
      </c>
      <c r="AA44" s="41">
        <f>AA35+AA43</f>
        <v>-441466</v>
      </c>
      <c r="AB44" s="41">
        <f>AB35+AB43</f>
        <v>-472799</v>
      </c>
      <c r="AD44" s="41">
        <f>AD35+AD43</f>
        <v>-2230</v>
      </c>
      <c r="AE44" s="41">
        <f>AE35+AE43</f>
        <v>10497</v>
      </c>
      <c r="AF44" s="41">
        <f>AF35+AF43</f>
        <v>-12727</v>
      </c>
      <c r="AG44" s="184">
        <f>AG35+AG43</f>
        <v>-4766</v>
      </c>
      <c r="AI44" s="239">
        <f>AI35+AI43</f>
        <v>-6400</v>
      </c>
      <c r="AJ44" s="225">
        <f>AJ35+AJ43</f>
        <v>-1634</v>
      </c>
      <c r="AK44" s="184"/>
      <c r="AL44" s="184"/>
      <c r="AM44" s="226"/>
      <c r="AN44" s="226">
        <f>AN35+AN43</f>
        <v>-1634</v>
      </c>
      <c r="AO44" s="184">
        <f>AO35+AO43</f>
        <v>-4766</v>
      </c>
    </row>
    <row r="45" spans="1:41" ht="12" thickTop="1" x14ac:dyDescent="0.2">
      <c r="A45" s="34" t="s">
        <v>52</v>
      </c>
      <c r="B45" s="52"/>
      <c r="D45" s="52"/>
      <c r="F45" s="52"/>
      <c r="G45" s="52"/>
      <c r="H45" s="52"/>
      <c r="I45" s="52"/>
      <c r="J45" s="52"/>
      <c r="K45" s="52"/>
      <c r="L45" s="52"/>
      <c r="M45" s="52"/>
      <c r="N45" s="52"/>
      <c r="O45" s="52"/>
      <c r="R45" s="31">
        <f>S35-R35</f>
        <v>-230304</v>
      </c>
      <c r="X45" s="51"/>
      <c r="AG45" s="185"/>
      <c r="AI45" s="236"/>
      <c r="AJ45" s="227"/>
      <c r="AK45" s="185"/>
      <c r="AL45" s="185"/>
      <c r="AM45" s="228"/>
      <c r="AN45" s="228"/>
    </row>
    <row r="46" spans="1:41" x14ac:dyDescent="0.2">
      <c r="A46" s="34" t="s">
        <v>53</v>
      </c>
      <c r="C46" s="31">
        <f>C44*0.3</f>
        <v>-141839.69999999998</v>
      </c>
      <c r="F46" s="52"/>
      <c r="G46" s="52"/>
      <c r="O46" s="52"/>
      <c r="V46" s="31">
        <f>V35-V47</f>
        <v>-2041028.3</v>
      </c>
      <c r="X46" s="51">
        <f>S13-R18-R22-R24-R25</f>
        <v>0</v>
      </c>
      <c r="AC46" s="64" t="s">
        <v>397</v>
      </c>
      <c r="AD46" s="31">
        <v>-2041</v>
      </c>
      <c r="AE46" s="31">
        <v>-10821</v>
      </c>
      <c r="AF46" s="31">
        <f>AD46-AE46</f>
        <v>8780</v>
      </c>
      <c r="AG46" s="52">
        <v>-4733</v>
      </c>
      <c r="AI46" s="236">
        <v>-6869</v>
      </c>
      <c r="AJ46" s="221">
        <v>-2136</v>
      </c>
      <c r="AK46" s="52"/>
      <c r="AL46" s="52"/>
      <c r="AM46" s="222"/>
      <c r="AN46" s="222">
        <f>AJ46+AK46+AL46+AM46</f>
        <v>-2136</v>
      </c>
      <c r="AO46" s="208">
        <f>AI46-AN46</f>
        <v>-4733</v>
      </c>
    </row>
    <row r="47" spans="1:41" x14ac:dyDescent="0.2">
      <c r="A47" s="34" t="s">
        <v>54</v>
      </c>
      <c r="R47" s="52" t="s">
        <v>1329</v>
      </c>
      <c r="S47" s="251">
        <f>'Conso C adjs'!$D$46</f>
        <v>47871</v>
      </c>
      <c r="V47" s="31">
        <f>C46-S47</f>
        <v>-189710.69999999998</v>
      </c>
      <c r="X47" s="51">
        <f>-R19</f>
        <v>-90387</v>
      </c>
      <c r="AC47" s="64" t="s">
        <v>398</v>
      </c>
      <c r="AD47" s="31">
        <v>-189</v>
      </c>
      <c r="AE47" s="31">
        <v>-824</v>
      </c>
      <c r="AF47" s="36">
        <f>AD47-AE47</f>
        <v>635</v>
      </c>
      <c r="AG47" s="52">
        <v>-33</v>
      </c>
      <c r="AI47" s="236">
        <v>469</v>
      </c>
      <c r="AJ47" s="221">
        <v>502</v>
      </c>
      <c r="AK47" s="52"/>
      <c r="AL47" s="52"/>
      <c r="AM47" s="222"/>
      <c r="AN47" s="224">
        <f>AJ47+AK47+AL47+AM47</f>
        <v>502</v>
      </c>
      <c r="AO47" s="208">
        <f>AI47-AN47</f>
        <v>-33</v>
      </c>
    </row>
    <row r="48" spans="1:41" ht="12" thickBot="1" x14ac:dyDescent="0.25">
      <c r="A48" s="34"/>
      <c r="V48" s="357">
        <f>SUM(V46:V47)</f>
        <v>-2230739</v>
      </c>
      <c r="X48" s="51">
        <f>S20</f>
        <v>0</v>
      </c>
      <c r="AD48" s="41">
        <f>SUM(AD46:AD47)</f>
        <v>-2230</v>
      </c>
      <c r="AE48" s="41">
        <f>SUM(AE46:AE47)</f>
        <v>-11645</v>
      </c>
      <c r="AF48" s="41">
        <f>SUM(AF46:AF47)</f>
        <v>9415</v>
      </c>
      <c r="AG48" s="184">
        <f>SUM(AG46:AG47)</f>
        <v>-4766</v>
      </c>
      <c r="AI48" s="240">
        <f>SUM(AI46:AI47)</f>
        <v>-6400</v>
      </c>
      <c r="AJ48" s="229">
        <f>SUM(AJ46:AJ47)</f>
        <v>-1634</v>
      </c>
      <c r="AK48" s="230"/>
      <c r="AL48" s="230"/>
      <c r="AM48" s="231"/>
      <c r="AN48" s="231">
        <f>SUM(AN46:AN47)</f>
        <v>-1634</v>
      </c>
      <c r="AO48" s="184">
        <f>SUM(AO46:AO47)</f>
        <v>-4766</v>
      </c>
    </row>
    <row r="49" spans="1:32" ht="12" outlineLevel="1" thickTop="1" x14ac:dyDescent="0.2">
      <c r="A49" s="38" t="s">
        <v>55</v>
      </c>
      <c r="X49" s="51">
        <f>S7</f>
        <v>0</v>
      </c>
      <c r="AF49" s="64" t="s">
        <v>490</v>
      </c>
    </row>
    <row r="50" spans="1:32" outlineLevel="1" x14ac:dyDescent="0.2">
      <c r="A50" s="38" t="s">
        <v>56</v>
      </c>
      <c r="X50" s="248">
        <f>SUM(X44:X49)</f>
        <v>-2090822</v>
      </c>
    </row>
    <row r="51" spans="1:32" outlineLevel="1" x14ac:dyDescent="0.2">
      <c r="A51" s="34" t="s">
        <v>75</v>
      </c>
      <c r="V51" s="42">
        <v>0</v>
      </c>
    </row>
    <row r="52" spans="1:32" outlineLevel="1" x14ac:dyDescent="0.2">
      <c r="A52" s="34" t="s">
        <v>76</v>
      </c>
      <c r="H52" s="31">
        <f>G44+H44+I44+J44+M44</f>
        <v>-1087789</v>
      </c>
      <c r="V52" s="42">
        <f>SUM(V51)</f>
        <v>0</v>
      </c>
    </row>
    <row r="55" spans="1:32" x14ac:dyDescent="0.2">
      <c r="B55" s="79"/>
      <c r="C55" s="79"/>
    </row>
    <row r="56" spans="1:32" x14ac:dyDescent="0.2">
      <c r="A56" s="34"/>
      <c r="B56" s="43"/>
      <c r="C56" s="43"/>
    </row>
    <row r="57" spans="1:32" x14ac:dyDescent="0.2">
      <c r="A57" s="34"/>
      <c r="G57" s="31">
        <f>G44+H44+I44+J44+M44</f>
        <v>-1087789</v>
      </c>
      <c r="R57" s="42">
        <v>3800000</v>
      </c>
    </row>
    <row r="58" spans="1:32" x14ac:dyDescent="0.2">
      <c r="G58" s="31">
        <f>G57+R58</f>
        <v>-93789</v>
      </c>
      <c r="Q58" s="411" t="s">
        <v>315</v>
      </c>
      <c r="R58" s="31">
        <v>994000</v>
      </c>
    </row>
    <row r="59" spans="1:32" x14ac:dyDescent="0.2">
      <c r="Q59" s="411" t="s">
        <v>975</v>
      </c>
      <c r="R59" s="31">
        <v>664000</v>
      </c>
    </row>
    <row r="63" spans="1:32" x14ac:dyDescent="0.2">
      <c r="R63" s="31">
        <f>SUM(R57:R62)</f>
        <v>5458000</v>
      </c>
    </row>
  </sheetData>
  <phoneticPr fontId="7" type="noConversion"/>
  <printOptions horizontalCentered="1"/>
  <pageMargins left="0.15748031496062992" right="0.19685039370078741" top="0.51181102362204722" bottom="0" header="0.51181102362204722" footer="0.51181102362204722"/>
  <pageSetup paperSize="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47"/>
  <sheetViews>
    <sheetView workbookViewId="0">
      <selection sqref="A1:AP1"/>
    </sheetView>
  </sheetViews>
  <sheetFormatPr defaultRowHeight="11.25" outlineLevelRow="1" x14ac:dyDescent="0.2"/>
  <cols>
    <col min="1" max="1" width="35.85546875" style="30" customWidth="1"/>
    <col min="2" max="2" width="10.7109375" style="31" customWidth="1"/>
    <col min="3" max="3" width="10.140625" style="31" customWidth="1"/>
    <col min="4" max="4" width="10.42578125" style="31" customWidth="1"/>
    <col min="5" max="5" width="10.140625" style="31" customWidth="1"/>
    <col min="6" max="6" width="10.7109375" style="31" customWidth="1"/>
    <col min="7" max="8" width="10.42578125" style="31" customWidth="1"/>
    <col min="9" max="9" width="7.7109375" style="31" customWidth="1"/>
    <col min="10" max="10" width="9.5703125" style="31" customWidth="1"/>
    <col min="11" max="11" width="10.42578125" style="31" customWidth="1"/>
    <col min="12" max="12" width="7.42578125" style="31" customWidth="1"/>
    <col min="13" max="13" width="9.5703125" style="31" customWidth="1"/>
    <col min="14" max="14" width="9" style="31" customWidth="1"/>
    <col min="15" max="15" width="9.42578125" style="31" customWidth="1"/>
    <col min="16" max="16" width="10.7109375" style="31" customWidth="1"/>
    <col min="17" max="17" width="8.85546875" style="54" customWidth="1"/>
    <col min="18" max="19" width="10.7109375" style="31" customWidth="1"/>
    <col min="20" max="20" width="11.28515625" style="31" customWidth="1"/>
    <col min="21" max="21" width="10.42578125" style="30" hidden="1" customWidth="1"/>
    <col min="22" max="22" width="7.7109375" style="31" hidden="1" customWidth="1"/>
    <col min="23" max="23" width="9" style="30" hidden="1" customWidth="1"/>
    <col min="24" max="27" width="10.7109375" style="30" hidden="1" customWidth="1"/>
    <col min="28" max="29" width="11.28515625" style="30" hidden="1" customWidth="1"/>
    <col min="30" max="30" width="9.140625" style="30" hidden="1" customWidth="1"/>
    <col min="31" max="31" width="9.140625" style="30" customWidth="1"/>
    <col min="32" max="16384" width="9.140625" style="30"/>
  </cols>
  <sheetData>
    <row r="1" spans="1:27" x14ac:dyDescent="0.2">
      <c r="A1" s="620" t="s">
        <v>2</v>
      </c>
      <c r="B1" s="620"/>
      <c r="C1" s="620"/>
      <c r="D1" s="620"/>
      <c r="E1" s="620"/>
      <c r="F1" s="620"/>
      <c r="G1" s="620"/>
      <c r="H1" s="620"/>
      <c r="I1" s="620"/>
      <c r="J1" s="620"/>
      <c r="K1" s="620"/>
      <c r="L1" s="620"/>
      <c r="M1" s="620"/>
      <c r="N1" s="620"/>
      <c r="O1" s="620"/>
      <c r="P1" s="620"/>
      <c r="Q1" s="620"/>
      <c r="R1" s="620"/>
      <c r="S1" s="620"/>
      <c r="T1" s="620"/>
    </row>
    <row r="2" spans="1:27" x14ac:dyDescent="0.2">
      <c r="A2" s="621" t="s">
        <v>509</v>
      </c>
      <c r="B2" s="620"/>
      <c r="C2" s="620"/>
      <c r="D2" s="620"/>
      <c r="E2" s="620"/>
      <c r="F2" s="620"/>
      <c r="G2" s="620"/>
      <c r="H2" s="620"/>
      <c r="I2" s="620"/>
      <c r="J2" s="620"/>
      <c r="K2" s="620"/>
      <c r="L2" s="620"/>
      <c r="M2" s="620"/>
      <c r="N2" s="620"/>
      <c r="O2" s="620"/>
      <c r="P2" s="620"/>
      <c r="Q2" s="620"/>
      <c r="R2" s="620"/>
      <c r="S2" s="620"/>
      <c r="T2" s="620"/>
      <c r="V2" s="31">
        <f>V89-V208</f>
        <v>0</v>
      </c>
    </row>
    <row r="3" spans="1:27" x14ac:dyDescent="0.2">
      <c r="B3" s="54" t="s">
        <v>510</v>
      </c>
      <c r="C3" s="54" t="s">
        <v>510</v>
      </c>
      <c r="D3" s="54" t="s">
        <v>510</v>
      </c>
      <c r="E3" s="54" t="s">
        <v>510</v>
      </c>
      <c r="F3" s="54" t="s">
        <v>510</v>
      </c>
      <c r="G3" s="54" t="s">
        <v>510</v>
      </c>
      <c r="H3" s="54" t="s">
        <v>510</v>
      </c>
      <c r="I3" s="54" t="s">
        <v>510</v>
      </c>
      <c r="J3" s="54" t="s">
        <v>510</v>
      </c>
      <c r="K3" s="54" t="s">
        <v>510</v>
      </c>
      <c r="L3" s="54" t="s">
        <v>510</v>
      </c>
      <c r="M3" s="54" t="s">
        <v>510</v>
      </c>
      <c r="N3" s="54"/>
      <c r="O3" s="54" t="s">
        <v>510</v>
      </c>
      <c r="P3" s="32" t="s">
        <v>1</v>
      </c>
      <c r="R3" s="32">
        <f>R210</f>
        <v>251650</v>
      </c>
      <c r="S3" s="32"/>
      <c r="T3" s="31">
        <f>T89-T208</f>
        <v>-15358093.300000012</v>
      </c>
      <c r="V3" s="32" t="s">
        <v>1</v>
      </c>
    </row>
    <row r="4" spans="1:27" x14ac:dyDescent="0.2">
      <c r="B4" s="54"/>
      <c r="C4" s="54"/>
      <c r="D4" s="54"/>
      <c r="E4" s="54"/>
      <c r="F4" s="54"/>
      <c r="G4" s="54"/>
      <c r="H4" s="54"/>
      <c r="I4" s="54"/>
      <c r="J4" s="54"/>
      <c r="K4" s="54"/>
      <c r="L4" s="54" t="s">
        <v>153</v>
      </c>
      <c r="M4" s="81" t="s">
        <v>61</v>
      </c>
      <c r="N4" s="68"/>
      <c r="O4" s="54" t="s">
        <v>148</v>
      </c>
      <c r="P4" s="32"/>
      <c r="R4" s="623" t="s">
        <v>26</v>
      </c>
      <c r="S4" s="623"/>
      <c r="T4" s="32"/>
    </row>
    <row r="5" spans="1:27" s="29" customFormat="1" x14ac:dyDescent="0.2">
      <c r="B5" s="54" t="s">
        <v>144</v>
      </c>
      <c r="C5" s="91" t="s">
        <v>346</v>
      </c>
      <c r="D5" s="69" t="s">
        <v>145</v>
      </c>
      <c r="E5" s="69" t="s">
        <v>146</v>
      </c>
      <c r="F5" s="69" t="s">
        <v>147</v>
      </c>
      <c r="G5" s="40" t="s">
        <v>148</v>
      </c>
      <c r="H5" s="40" t="s">
        <v>149</v>
      </c>
      <c r="I5" s="40" t="s">
        <v>150</v>
      </c>
      <c r="J5" s="40" t="s">
        <v>151</v>
      </c>
      <c r="K5" s="104" t="s">
        <v>152</v>
      </c>
      <c r="L5" s="54" t="s">
        <v>154</v>
      </c>
      <c r="M5" s="81" t="s">
        <v>155</v>
      </c>
      <c r="N5" s="54" t="s">
        <v>156</v>
      </c>
      <c r="O5" s="54" t="s">
        <v>157</v>
      </c>
      <c r="P5" s="32" t="s">
        <v>24</v>
      </c>
      <c r="Q5" s="54"/>
      <c r="R5" s="29" t="s">
        <v>158</v>
      </c>
      <c r="S5" s="32" t="s">
        <v>159</v>
      </c>
      <c r="T5" s="32" t="s">
        <v>24</v>
      </c>
      <c r="V5" s="32"/>
      <c r="X5" s="71" t="s">
        <v>344</v>
      </c>
      <c r="Y5" s="72" t="s">
        <v>311</v>
      </c>
      <c r="Z5" s="90" t="s">
        <v>406</v>
      </c>
      <c r="AA5" s="68" t="s">
        <v>62</v>
      </c>
    </row>
    <row r="6" spans="1:27" s="29" customFormat="1" x14ac:dyDescent="0.2">
      <c r="A6" s="33" t="s">
        <v>33</v>
      </c>
      <c r="B6" s="32"/>
      <c r="C6" s="32"/>
      <c r="D6" s="32"/>
      <c r="E6" s="32"/>
      <c r="F6" s="32"/>
      <c r="G6" s="32"/>
      <c r="H6" s="32"/>
      <c r="I6" s="32"/>
      <c r="J6" s="32"/>
      <c r="K6" s="32"/>
      <c r="L6" s="32"/>
      <c r="M6" s="32"/>
      <c r="N6" s="32"/>
      <c r="O6" s="32"/>
      <c r="P6" s="32"/>
      <c r="Q6" s="54"/>
      <c r="R6" s="32"/>
      <c r="S6" s="32"/>
      <c r="T6" s="32"/>
      <c r="V6" s="32"/>
    </row>
    <row r="7" spans="1:27" x14ac:dyDescent="0.2">
      <c r="A7" s="33" t="s">
        <v>42</v>
      </c>
    </row>
    <row r="8" spans="1:27" x14ac:dyDescent="0.2">
      <c r="A8" s="30" t="s">
        <v>8</v>
      </c>
      <c r="B8" s="31">
        <v>372944</v>
      </c>
      <c r="C8" s="31">
        <f>937521</f>
        <v>937521</v>
      </c>
      <c r="D8" s="31">
        <f>3711030</f>
        <v>3711030</v>
      </c>
      <c r="E8" s="31">
        <v>0</v>
      </c>
      <c r="F8" s="31">
        <f>1134033-F13</f>
        <v>784143</v>
      </c>
      <c r="G8" s="31">
        <f>14671916-6013778</f>
        <v>8658138</v>
      </c>
      <c r="H8" s="31">
        <f>1375360-340937</f>
        <v>1034423</v>
      </c>
      <c r="I8" s="31">
        <v>0</v>
      </c>
      <c r="J8" s="31">
        <f>292317-71476</f>
        <v>220841</v>
      </c>
      <c r="K8" s="31">
        <f>25267686-70580-70580</f>
        <v>25126526</v>
      </c>
      <c r="L8" s="31">
        <v>0</v>
      </c>
      <c r="M8" s="31">
        <f>223773-39837</f>
        <v>183936</v>
      </c>
      <c r="N8" s="31">
        <v>0</v>
      </c>
      <c r="O8" s="31">
        <v>0</v>
      </c>
      <c r="P8" s="31">
        <f>SUM(B8:O8)</f>
        <v>41029502</v>
      </c>
      <c r="Q8" s="54" t="s">
        <v>238</v>
      </c>
      <c r="R8" s="52">
        <f>'Conso P adjs'!D82</f>
        <v>277875</v>
      </c>
      <c r="S8" s="52"/>
      <c r="T8" s="31">
        <f>P8+R8+R9+R10+R11+R12-S12-S11-S10-S9-S8</f>
        <v>41281152</v>
      </c>
      <c r="V8" s="31">
        <v>41029</v>
      </c>
    </row>
    <row r="9" spans="1:27" hidden="1" x14ac:dyDescent="0.2">
      <c r="Q9" s="54" t="s">
        <v>238</v>
      </c>
      <c r="R9" s="52"/>
      <c r="S9" s="52">
        <f>'Conso P adjs'!E85</f>
        <v>26225</v>
      </c>
    </row>
    <row r="10" spans="1:27" hidden="1" x14ac:dyDescent="0.2">
      <c r="Q10" s="54" t="s">
        <v>243</v>
      </c>
      <c r="R10" s="52">
        <f>'Conso P adjs'!D114</f>
        <v>4683599</v>
      </c>
      <c r="S10" s="52"/>
    </row>
    <row r="11" spans="1:27" hidden="1" x14ac:dyDescent="0.2">
      <c r="Q11" s="54" t="s">
        <v>243</v>
      </c>
      <c r="R11" s="52"/>
      <c r="S11" s="52">
        <f>'Conso P adjs'!E116</f>
        <v>3210885</v>
      </c>
    </row>
    <row r="12" spans="1:27" hidden="1" x14ac:dyDescent="0.2">
      <c r="Q12" s="54" t="s">
        <v>254</v>
      </c>
      <c r="R12" s="52"/>
      <c r="S12" s="52">
        <f>'Conso P adjs'!E176</f>
        <v>1472714</v>
      </c>
    </row>
    <row r="13" spans="1:27" x14ac:dyDescent="0.2">
      <c r="A13" s="34" t="s">
        <v>34</v>
      </c>
      <c r="B13" s="31">
        <v>0</v>
      </c>
      <c r="C13" s="31">
        <v>0</v>
      </c>
      <c r="D13" s="31">
        <v>0</v>
      </c>
      <c r="E13" s="31">
        <v>1535182</v>
      </c>
      <c r="F13" s="31">
        <f>463125-113235</f>
        <v>349890</v>
      </c>
      <c r="G13" s="31">
        <v>0</v>
      </c>
      <c r="H13" s="31">
        <v>0</v>
      </c>
      <c r="I13" s="31">
        <v>0</v>
      </c>
      <c r="J13" s="31">
        <v>0</v>
      </c>
      <c r="K13" s="31">
        <v>0</v>
      </c>
      <c r="L13" s="31">
        <v>0</v>
      </c>
      <c r="M13" s="31">
        <v>0</v>
      </c>
      <c r="N13" s="31">
        <v>0</v>
      </c>
      <c r="O13" s="31">
        <v>0</v>
      </c>
      <c r="P13" s="31">
        <f>SUM(B13:O13)</f>
        <v>1885072</v>
      </c>
      <c r="Q13" s="54" t="s">
        <v>236</v>
      </c>
      <c r="R13" s="52">
        <f>'Conso P adjs'!D75</f>
        <v>277875</v>
      </c>
      <c r="S13" s="52"/>
      <c r="T13" s="31">
        <f>P13+R13+R14+R15+R16-S16-S15-S14-S13</f>
        <v>2136724</v>
      </c>
      <c r="V13" s="31">
        <v>4205</v>
      </c>
    </row>
    <row r="14" spans="1:27" hidden="1" x14ac:dyDescent="0.2">
      <c r="A14" s="34"/>
      <c r="Q14" s="54" t="s">
        <v>236</v>
      </c>
      <c r="R14" s="52"/>
      <c r="S14" s="52">
        <f>'Conso P adjs'!E78</f>
        <v>26223</v>
      </c>
    </row>
    <row r="15" spans="1:27" hidden="1" x14ac:dyDescent="0.2">
      <c r="A15" s="34"/>
      <c r="Q15" s="54" t="s">
        <v>241</v>
      </c>
      <c r="R15" s="52">
        <f>'Conso P adjs'!D104</f>
        <v>0</v>
      </c>
      <c r="S15" s="52"/>
    </row>
    <row r="16" spans="1:27" hidden="1" x14ac:dyDescent="0.2">
      <c r="A16" s="34"/>
      <c r="Q16" s="54" t="s">
        <v>242</v>
      </c>
      <c r="R16" s="52"/>
      <c r="S16" s="52">
        <f>'Conso P adjs'!E110</f>
        <v>0</v>
      </c>
    </row>
    <row r="17" spans="1:22" x14ac:dyDescent="0.2">
      <c r="A17" s="30" t="s">
        <v>35</v>
      </c>
      <c r="B17" s="31">
        <v>0</v>
      </c>
      <c r="C17" s="31">
        <v>0</v>
      </c>
      <c r="D17" s="31">
        <v>0</v>
      </c>
      <c r="E17" s="31">
        <v>0</v>
      </c>
      <c r="F17" s="31">
        <v>0</v>
      </c>
      <c r="G17" s="31">
        <v>0</v>
      </c>
      <c r="H17" s="31">
        <v>0</v>
      </c>
      <c r="I17" s="31">
        <v>0</v>
      </c>
      <c r="J17" s="31">
        <v>0</v>
      </c>
      <c r="K17" s="31">
        <v>0</v>
      </c>
      <c r="L17" s="31">
        <v>0</v>
      </c>
      <c r="M17" s="31">
        <v>0</v>
      </c>
      <c r="N17" s="31">
        <v>0</v>
      </c>
      <c r="O17" s="31">
        <v>0</v>
      </c>
      <c r="P17" s="31">
        <f>SUM(B17:O17)</f>
        <v>0</v>
      </c>
      <c r="Q17" s="54" t="s">
        <v>239</v>
      </c>
      <c r="R17" s="52">
        <f>'Conso P adjs'!D89</f>
        <v>3146250</v>
      </c>
      <c r="S17" s="52"/>
      <c r="T17" s="31">
        <f>P17+R17+R18+R19+R20-S20-S19-S18-S17</f>
        <v>6783166</v>
      </c>
      <c r="V17" s="31">
        <v>6783</v>
      </c>
    </row>
    <row r="18" spans="1:22" hidden="1" x14ac:dyDescent="0.2">
      <c r="Q18" s="54" t="s">
        <v>239</v>
      </c>
      <c r="R18" s="52"/>
      <c r="S18" s="52">
        <f>'Conso P adjs'!E92</f>
        <v>100889</v>
      </c>
    </row>
    <row r="19" spans="1:22" hidden="1" x14ac:dyDescent="0.2">
      <c r="Q19" s="54" t="s">
        <v>244</v>
      </c>
      <c r="R19" s="52">
        <f>'Conso P adjs'!D121</f>
        <v>3978857</v>
      </c>
      <c r="S19" s="52"/>
    </row>
    <row r="20" spans="1:22" hidden="1" x14ac:dyDescent="0.2">
      <c r="Q20" s="54" t="s">
        <v>244</v>
      </c>
      <c r="R20" s="52"/>
      <c r="S20" s="52">
        <f>'Conso P adjs'!E123</f>
        <v>241052</v>
      </c>
    </row>
    <row r="21" spans="1:22" outlineLevel="1" x14ac:dyDescent="0.2">
      <c r="A21" s="30" t="s">
        <v>19</v>
      </c>
      <c r="B21" s="31">
        <v>0</v>
      </c>
      <c r="C21" s="31">
        <v>0</v>
      </c>
      <c r="D21" s="31">
        <v>0</v>
      </c>
      <c r="E21" s="31">
        <v>0</v>
      </c>
      <c r="F21" s="31">
        <v>0</v>
      </c>
      <c r="G21" s="31">
        <v>0</v>
      </c>
      <c r="H21" s="31">
        <v>0</v>
      </c>
      <c r="I21" s="31">
        <v>0</v>
      </c>
      <c r="J21" s="31">
        <v>0</v>
      </c>
      <c r="K21" s="31">
        <v>0</v>
      </c>
      <c r="L21" s="31">
        <v>0</v>
      </c>
      <c r="M21" s="31">
        <v>0</v>
      </c>
      <c r="N21" s="31">
        <v>0</v>
      </c>
      <c r="O21" s="31">
        <v>0</v>
      </c>
      <c r="P21" s="31">
        <f>SUM(B21:O21)</f>
        <v>0</v>
      </c>
      <c r="Q21" s="54" t="s">
        <v>227</v>
      </c>
      <c r="R21" s="52">
        <f>'Conso P adjs'!D16</f>
        <v>169000000</v>
      </c>
      <c r="S21" s="52"/>
      <c r="T21" s="31">
        <f>P21+R21+R22+R23+R24+R25+R26+R27-S27-S26-S25-S24-S23-S22-S21</f>
        <v>0</v>
      </c>
      <c r="V21" s="31">
        <v>0</v>
      </c>
    </row>
    <row r="22" spans="1:22" hidden="1" outlineLevel="1" x14ac:dyDescent="0.2">
      <c r="Q22" s="54" t="s">
        <v>229</v>
      </c>
      <c r="R22" s="52"/>
      <c r="S22" s="52">
        <f>'Conso P adjs'!E38</f>
        <v>17787549</v>
      </c>
    </row>
    <row r="23" spans="1:22" hidden="1" outlineLevel="1" x14ac:dyDescent="0.2">
      <c r="Q23" s="54" t="s">
        <v>230</v>
      </c>
      <c r="R23" s="52"/>
      <c r="S23" s="52">
        <f>'Conso P adjs'!E43</f>
        <v>3500000</v>
      </c>
    </row>
    <row r="24" spans="1:22" hidden="1" outlineLevel="1" x14ac:dyDescent="0.2">
      <c r="Q24" s="54" t="s">
        <v>232</v>
      </c>
      <c r="R24" s="52"/>
      <c r="S24" s="52">
        <f>'Conso P adjs'!E55</f>
        <v>32596541</v>
      </c>
    </row>
    <row r="25" spans="1:22" hidden="1" outlineLevel="1" x14ac:dyDescent="0.2">
      <c r="Q25" s="54" t="s">
        <v>233</v>
      </c>
      <c r="R25" s="52"/>
      <c r="S25" s="52">
        <f>'Conso P adjs'!E61</f>
        <v>52208250</v>
      </c>
    </row>
    <row r="26" spans="1:22" hidden="1" outlineLevel="1" x14ac:dyDescent="0.2">
      <c r="Q26" s="54" t="s">
        <v>250</v>
      </c>
      <c r="R26" s="52"/>
      <c r="S26" s="52">
        <f>'Conso P adjs'!E156</f>
        <v>32907660</v>
      </c>
    </row>
    <row r="27" spans="1:22" hidden="1" outlineLevel="1" x14ac:dyDescent="0.2">
      <c r="Q27" s="54" t="s">
        <v>251</v>
      </c>
      <c r="R27" s="52"/>
      <c r="S27" s="52">
        <f>'Conso P adjs'!E161</f>
        <v>30000000</v>
      </c>
    </row>
    <row r="28" spans="1:22" x14ac:dyDescent="0.2">
      <c r="A28" s="34" t="s">
        <v>70</v>
      </c>
      <c r="B28" s="31">
        <v>0</v>
      </c>
      <c r="C28" s="31">
        <v>0</v>
      </c>
      <c r="D28" s="31">
        <v>0</v>
      </c>
      <c r="E28" s="31">
        <v>0</v>
      </c>
      <c r="F28" s="31">
        <v>0</v>
      </c>
      <c r="G28" s="31">
        <v>0</v>
      </c>
      <c r="H28" s="31">
        <v>0</v>
      </c>
      <c r="I28" s="31">
        <v>0</v>
      </c>
      <c r="J28" s="31">
        <v>0</v>
      </c>
      <c r="K28" s="31">
        <v>0</v>
      </c>
      <c r="L28" s="31">
        <v>0</v>
      </c>
      <c r="M28" s="31">
        <v>0</v>
      </c>
      <c r="N28" s="31">
        <v>0</v>
      </c>
      <c r="O28" s="31">
        <v>0</v>
      </c>
      <c r="P28" s="31">
        <f>SUM(B28:O28)</f>
        <v>0</v>
      </c>
      <c r="Q28" s="118"/>
      <c r="R28" s="109"/>
      <c r="S28" s="109"/>
      <c r="T28" s="31">
        <f>P28+R28+R29+R30+R31+R32-S32-S31-S30-S29-S28</f>
        <v>0</v>
      </c>
      <c r="V28" s="31">
        <v>0</v>
      </c>
    </row>
    <row r="29" spans="1:22" hidden="1" x14ac:dyDescent="0.2">
      <c r="A29" s="34"/>
      <c r="Q29" s="118"/>
      <c r="R29" s="109"/>
      <c r="S29" s="109"/>
    </row>
    <row r="30" spans="1:22" hidden="1" x14ac:dyDescent="0.2">
      <c r="A30" s="34"/>
      <c r="Q30" s="118"/>
      <c r="R30" s="109"/>
      <c r="S30" s="109"/>
    </row>
    <row r="31" spans="1:22" hidden="1" x14ac:dyDescent="0.2">
      <c r="A31" s="34"/>
      <c r="Q31" s="118"/>
      <c r="R31" s="109"/>
      <c r="S31" s="109"/>
    </row>
    <row r="32" spans="1:22" hidden="1" x14ac:dyDescent="0.2">
      <c r="A32" s="34"/>
      <c r="Q32" s="118"/>
      <c r="R32" s="109"/>
      <c r="S32" s="109"/>
    </row>
    <row r="33" spans="1:22" x14ac:dyDescent="0.2">
      <c r="A33" s="34" t="s">
        <v>120</v>
      </c>
      <c r="B33" s="31">
        <v>0</v>
      </c>
      <c r="C33" s="31">
        <v>0</v>
      </c>
      <c r="D33" s="31">
        <v>0</v>
      </c>
      <c r="E33" s="31">
        <v>0</v>
      </c>
      <c r="F33" s="31">
        <v>0</v>
      </c>
      <c r="G33" s="31">
        <v>0</v>
      </c>
      <c r="H33" s="31">
        <v>0</v>
      </c>
      <c r="I33" s="31">
        <v>0</v>
      </c>
      <c r="J33" s="31">
        <v>0</v>
      </c>
      <c r="K33" s="31">
        <f>4333745+137180+137180</f>
        <v>4608105</v>
      </c>
      <c r="L33" s="31">
        <v>0</v>
      </c>
      <c r="M33" s="31">
        <v>0</v>
      </c>
      <c r="N33" s="31">
        <v>0</v>
      </c>
      <c r="O33" s="31">
        <v>0</v>
      </c>
      <c r="P33" s="31">
        <f>SUM(B33:O33)</f>
        <v>4608105</v>
      </c>
      <c r="Q33" s="118"/>
      <c r="R33" s="109"/>
      <c r="S33" s="109"/>
      <c r="T33" s="31">
        <f>P33+R33-S33</f>
        <v>4608105</v>
      </c>
      <c r="V33" s="31">
        <v>4608</v>
      </c>
    </row>
    <row r="34" spans="1:22" x14ac:dyDescent="0.2">
      <c r="A34" s="55" t="s">
        <v>461</v>
      </c>
      <c r="B34" s="31">
        <v>0</v>
      </c>
      <c r="C34" s="31">
        <v>0</v>
      </c>
      <c r="D34" s="31">
        <v>0</v>
      </c>
      <c r="E34" s="31">
        <v>0</v>
      </c>
      <c r="F34" s="31">
        <v>0</v>
      </c>
      <c r="G34" s="31">
        <v>0</v>
      </c>
      <c r="H34" s="31">
        <v>0</v>
      </c>
      <c r="I34" s="31">
        <v>0</v>
      </c>
      <c r="J34" s="31">
        <v>0</v>
      </c>
      <c r="K34" s="31">
        <v>0</v>
      </c>
      <c r="L34" s="31">
        <v>0</v>
      </c>
      <c r="M34" s="31">
        <v>0</v>
      </c>
      <c r="N34" s="31">
        <v>0</v>
      </c>
      <c r="O34" s="31">
        <v>0</v>
      </c>
      <c r="P34" s="31">
        <f>SUM(B34:O34)</f>
        <v>0</v>
      </c>
      <c r="Q34" s="54" t="s">
        <v>462</v>
      </c>
      <c r="R34" s="52">
        <f>'Conso P adjs'!D270</f>
        <v>14434285</v>
      </c>
      <c r="S34" s="52"/>
      <c r="T34" s="31">
        <f>P34+R34-S34</f>
        <v>14434285</v>
      </c>
      <c r="V34" s="31">
        <v>48114</v>
      </c>
    </row>
    <row r="35" spans="1:22" x14ac:dyDescent="0.2">
      <c r="A35" s="34" t="s">
        <v>64</v>
      </c>
      <c r="B35" s="31">
        <v>146247830</v>
      </c>
      <c r="C35" s="31">
        <v>0</v>
      </c>
      <c r="D35" s="31">
        <v>0</v>
      </c>
      <c r="E35" s="31">
        <v>0</v>
      </c>
      <c r="F35" s="31">
        <v>0</v>
      </c>
      <c r="G35" s="31">
        <v>0</v>
      </c>
      <c r="H35" s="31">
        <v>0</v>
      </c>
      <c r="I35" s="31">
        <v>0</v>
      </c>
      <c r="J35" s="31">
        <v>0</v>
      </c>
      <c r="K35" s="31">
        <v>0</v>
      </c>
      <c r="L35" s="31">
        <v>0</v>
      </c>
      <c r="M35" s="31">
        <v>0</v>
      </c>
      <c r="N35" s="31">
        <v>0</v>
      </c>
      <c r="O35" s="31">
        <v>0</v>
      </c>
      <c r="P35" s="31">
        <f>SUM(B35:O35)</f>
        <v>146247830</v>
      </c>
      <c r="Q35" s="54" t="s">
        <v>225</v>
      </c>
      <c r="R35" s="52"/>
      <c r="S35" s="52">
        <f>'Conso P adjs'!E12</f>
        <v>55606591</v>
      </c>
      <c r="T35" s="31">
        <f>P35+R35+R36+R37+R38+R39+R40+R41+R42+R43+R44+R45+R46+R47+R48+R49+R50+R51+R54-S54-S51-S50-S49-S48-S47-S46-S45-S44-S43-S42-S41-S40-S39-S38-S37-S36-S35+R52-S52+U35+R53-S53</f>
        <v>28068064</v>
      </c>
      <c r="U35" s="30">
        <v>2</v>
      </c>
      <c r="V35" s="31">
        <v>0</v>
      </c>
    </row>
    <row r="36" spans="1:22" hidden="1" x14ac:dyDescent="0.2">
      <c r="A36" s="34"/>
      <c r="Q36" s="54" t="s">
        <v>227</v>
      </c>
      <c r="R36" s="52"/>
      <c r="S36" s="52">
        <f>'Conso P adjs'!E20</f>
        <v>178282343</v>
      </c>
    </row>
    <row r="37" spans="1:22" hidden="1" x14ac:dyDescent="0.2">
      <c r="A37" s="34"/>
      <c r="Q37" s="54" t="s">
        <v>228</v>
      </c>
      <c r="R37" s="52"/>
      <c r="S37" s="52">
        <f>'Conso P adjs'!E31</f>
        <v>2100006</v>
      </c>
    </row>
    <row r="38" spans="1:22" hidden="1" x14ac:dyDescent="0.2">
      <c r="A38" s="34"/>
      <c r="Q38" s="54" t="s">
        <v>248</v>
      </c>
      <c r="R38" s="52">
        <f>'Conso P adjs'!D145</f>
        <v>548760</v>
      </c>
      <c r="S38" s="52"/>
    </row>
    <row r="39" spans="1:22" hidden="1" x14ac:dyDescent="0.2">
      <c r="A39" s="34"/>
      <c r="Q39" s="54" t="s">
        <v>249</v>
      </c>
      <c r="R39" s="52">
        <f>'Conso P adjs'!D150</f>
        <v>100549682</v>
      </c>
      <c r="S39" s="52"/>
    </row>
    <row r="40" spans="1:22" hidden="1" x14ac:dyDescent="0.2">
      <c r="A40" s="34"/>
      <c r="Q40" s="54" t="s">
        <v>255</v>
      </c>
      <c r="R40" s="52"/>
      <c r="S40" s="52">
        <f>'Conso P adjs'!E185+'Conso P adjs'!E186</f>
        <v>4</v>
      </c>
    </row>
    <row r="41" spans="1:22" hidden="1" x14ac:dyDescent="0.2">
      <c r="A41" s="34"/>
      <c r="Q41" s="54" t="s">
        <v>256</v>
      </c>
      <c r="R41" s="52">
        <f>'Conso P adjs'!D190</f>
        <v>2089679</v>
      </c>
      <c r="S41" s="52"/>
    </row>
    <row r="42" spans="1:22" hidden="1" x14ac:dyDescent="0.2">
      <c r="A42" s="34"/>
      <c r="Q42" s="54" t="s">
        <v>257</v>
      </c>
      <c r="R42" s="52">
        <f>'Conso P adjs'!D195</f>
        <v>25162</v>
      </c>
      <c r="S42" s="52"/>
    </row>
    <row r="43" spans="1:22" hidden="1" x14ac:dyDescent="0.2">
      <c r="A43" s="34"/>
      <c r="Q43" s="54" t="s">
        <v>258</v>
      </c>
      <c r="R43" s="52">
        <f>'Conso P adjs'!D200</f>
        <v>6036899</v>
      </c>
      <c r="S43" s="52"/>
    </row>
    <row r="44" spans="1:22" hidden="1" x14ac:dyDescent="0.2">
      <c r="A44" s="34"/>
      <c r="Q44" s="54" t="s">
        <v>259</v>
      </c>
      <c r="R44" s="52"/>
      <c r="S44" s="52">
        <f>'Conso P adjs'!E208</f>
        <v>100000</v>
      </c>
    </row>
    <row r="45" spans="1:22" hidden="1" x14ac:dyDescent="0.2">
      <c r="A45" s="34"/>
      <c r="Q45" s="118" t="s">
        <v>260</v>
      </c>
      <c r="R45" s="109"/>
      <c r="S45" s="109"/>
    </row>
    <row r="46" spans="1:22" hidden="1" x14ac:dyDescent="0.2">
      <c r="A46" s="34"/>
      <c r="Q46" s="118" t="s">
        <v>260</v>
      </c>
      <c r="R46" s="109"/>
      <c r="S46" s="109"/>
    </row>
    <row r="47" spans="1:22" hidden="1" x14ac:dyDescent="0.2">
      <c r="A47" s="34"/>
      <c r="Q47" s="54" t="s">
        <v>274</v>
      </c>
      <c r="R47" s="52"/>
      <c r="S47" s="52">
        <f>'Conso P adjs'!E220</f>
        <v>2500000</v>
      </c>
    </row>
    <row r="48" spans="1:22" hidden="1" x14ac:dyDescent="0.2">
      <c r="A48" s="34"/>
      <c r="Q48" s="54" t="s">
        <v>275</v>
      </c>
      <c r="R48" s="52"/>
      <c r="S48" s="52">
        <f>'Conso P adjs'!E228</f>
        <v>100000</v>
      </c>
    </row>
    <row r="49" spans="1:22" hidden="1" x14ac:dyDescent="0.2">
      <c r="A49" s="34"/>
      <c r="Q49" s="118" t="s">
        <v>276</v>
      </c>
      <c r="R49" s="109"/>
      <c r="S49" s="109"/>
    </row>
    <row r="50" spans="1:22" hidden="1" x14ac:dyDescent="0.2">
      <c r="A50" s="34"/>
      <c r="Q50" s="118" t="s">
        <v>276</v>
      </c>
      <c r="R50" s="109"/>
      <c r="S50" s="109"/>
    </row>
    <row r="51" spans="1:22" hidden="1" x14ac:dyDescent="0.2">
      <c r="A51" s="34"/>
      <c r="Q51" s="54" t="s">
        <v>277</v>
      </c>
      <c r="R51" s="52">
        <f>'Conso P adjs'!D238</f>
        <v>5500437</v>
      </c>
      <c r="S51" s="52"/>
    </row>
    <row r="52" spans="1:22" hidden="1" x14ac:dyDescent="0.2">
      <c r="A52" s="34"/>
      <c r="Q52" s="54" t="s">
        <v>460</v>
      </c>
      <c r="R52" s="52">
        <f>'Conso P adjs'!D265</f>
        <v>5758557</v>
      </c>
      <c r="S52" s="52"/>
    </row>
    <row r="53" spans="1:22" hidden="1" x14ac:dyDescent="0.2">
      <c r="A53" s="34"/>
      <c r="Q53" s="54" t="s">
        <v>512</v>
      </c>
      <c r="R53" s="52">
        <f>'Conso C adjs'!F153</f>
        <v>0</v>
      </c>
      <c r="S53" s="52"/>
    </row>
    <row r="54" spans="1:22" hidden="1" x14ac:dyDescent="0.2">
      <c r="A54" s="34"/>
      <c r="Q54" s="54" t="s">
        <v>486</v>
      </c>
      <c r="R54" s="52"/>
      <c r="S54" s="52">
        <f>'Conso C adjs'!G175</f>
        <v>0</v>
      </c>
    </row>
    <row r="55" spans="1:22" x14ac:dyDescent="0.2">
      <c r="A55" s="55" t="s">
        <v>347</v>
      </c>
      <c r="B55" s="31">
        <v>0</v>
      </c>
      <c r="C55" s="31">
        <v>0</v>
      </c>
      <c r="D55" s="31">
        <v>0</v>
      </c>
      <c r="E55" s="31">
        <v>0</v>
      </c>
      <c r="F55" s="31">
        <v>0</v>
      </c>
      <c r="G55" s="31">
        <v>0</v>
      </c>
      <c r="H55" s="31">
        <v>0</v>
      </c>
      <c r="I55" s="31">
        <v>0</v>
      </c>
      <c r="J55" s="31">
        <v>0</v>
      </c>
      <c r="K55" s="31">
        <v>0</v>
      </c>
      <c r="L55" s="31">
        <v>0</v>
      </c>
      <c r="M55" s="31">
        <v>0</v>
      </c>
      <c r="N55" s="31">
        <v>0</v>
      </c>
      <c r="O55" s="31">
        <v>0</v>
      </c>
      <c r="P55" s="31">
        <f>SUM(B55:O55)</f>
        <v>0</v>
      </c>
      <c r="Q55" s="118"/>
      <c r="R55" s="109"/>
      <c r="S55" s="109"/>
      <c r="T55" s="31">
        <f>P55+R55-S55</f>
        <v>0</v>
      </c>
      <c r="V55" s="31">
        <v>0</v>
      </c>
    </row>
    <row r="56" spans="1:22" x14ac:dyDescent="0.2">
      <c r="A56" s="55" t="s">
        <v>350</v>
      </c>
      <c r="B56" s="31">
        <v>0</v>
      </c>
      <c r="C56" s="31">
        <v>0</v>
      </c>
      <c r="D56" s="31">
        <v>0</v>
      </c>
      <c r="E56" s="31">
        <v>0</v>
      </c>
      <c r="F56" s="31">
        <v>0</v>
      </c>
      <c r="G56" s="31">
        <v>0</v>
      </c>
      <c r="H56" s="31">
        <v>0</v>
      </c>
      <c r="I56" s="31">
        <v>0</v>
      </c>
      <c r="J56" s="31">
        <v>0</v>
      </c>
      <c r="K56" s="31">
        <v>0</v>
      </c>
      <c r="L56" s="31">
        <v>0</v>
      </c>
      <c r="M56" s="31">
        <v>0</v>
      </c>
      <c r="N56" s="31">
        <v>0</v>
      </c>
      <c r="O56" s="31">
        <v>0</v>
      </c>
      <c r="P56" s="31">
        <v>0</v>
      </c>
      <c r="Q56" s="54" t="s">
        <v>456</v>
      </c>
      <c r="R56" s="52">
        <f>'Conso P adjs'!D245</f>
        <v>436809</v>
      </c>
      <c r="S56" s="52"/>
      <c r="T56" s="31">
        <f>P56+R56-S56+R58-S58+R57-S57</f>
        <v>0</v>
      </c>
      <c r="V56" s="75">
        <v>0</v>
      </c>
    </row>
    <row r="57" spans="1:22" hidden="1" x14ac:dyDescent="0.2">
      <c r="A57" s="55"/>
      <c r="Q57" s="54" t="s">
        <v>458</v>
      </c>
      <c r="R57" s="52"/>
      <c r="S57" s="52">
        <f>'Conso P adjs'!E261</f>
        <v>436809</v>
      </c>
      <c r="V57" s="75"/>
    </row>
    <row r="58" spans="1:22" hidden="1" x14ac:dyDescent="0.2">
      <c r="A58" s="34"/>
      <c r="Q58" s="118"/>
      <c r="R58" s="109"/>
      <c r="S58" s="109">
        <f>'Conso C adjs'!G149</f>
        <v>0</v>
      </c>
    </row>
    <row r="59" spans="1:22" x14ac:dyDescent="0.2">
      <c r="B59" s="35">
        <f>SUM(B8:B58)</f>
        <v>146620774</v>
      </c>
      <c r="C59" s="35">
        <f>SUM(C8:C58)</f>
        <v>937521</v>
      </c>
      <c r="D59" s="35">
        <f t="shared" ref="D59:O59" si="0">SUM(D8:D58)</f>
        <v>3711030</v>
      </c>
      <c r="E59" s="35">
        <f t="shared" si="0"/>
        <v>1535182</v>
      </c>
      <c r="F59" s="35">
        <f t="shared" si="0"/>
        <v>1134033</v>
      </c>
      <c r="G59" s="35">
        <f t="shared" si="0"/>
        <v>8658138</v>
      </c>
      <c r="H59" s="35">
        <f t="shared" si="0"/>
        <v>1034423</v>
      </c>
      <c r="I59" s="35">
        <f t="shared" si="0"/>
        <v>0</v>
      </c>
      <c r="J59" s="35">
        <f t="shared" si="0"/>
        <v>220841</v>
      </c>
      <c r="K59" s="35">
        <f t="shared" si="0"/>
        <v>29734631</v>
      </c>
      <c r="L59" s="35">
        <f t="shared" si="0"/>
        <v>0</v>
      </c>
      <c r="M59" s="35">
        <f t="shared" si="0"/>
        <v>183936</v>
      </c>
      <c r="N59" s="35">
        <f t="shared" si="0"/>
        <v>0</v>
      </c>
      <c r="O59" s="35">
        <f t="shared" si="0"/>
        <v>0</v>
      </c>
      <c r="P59" s="35">
        <f>SUM(P8:P58)</f>
        <v>193770509</v>
      </c>
      <c r="Q59" s="118"/>
      <c r="R59" s="109"/>
      <c r="S59" s="109"/>
      <c r="T59" s="35">
        <f>SUM(T8:T58)</f>
        <v>97311496</v>
      </c>
      <c r="V59" s="35">
        <f>SUM(V8:V58)</f>
        <v>104739</v>
      </c>
    </row>
    <row r="60" spans="1:22" x14ac:dyDescent="0.2">
      <c r="A60" s="33" t="s">
        <v>40</v>
      </c>
      <c r="Q60" s="118"/>
      <c r="R60" s="109"/>
      <c r="S60" s="109"/>
    </row>
    <row r="61" spans="1:22" x14ac:dyDescent="0.2">
      <c r="A61" s="34" t="s">
        <v>90</v>
      </c>
      <c r="B61" s="31">
        <v>0</v>
      </c>
      <c r="C61" s="31">
        <v>0</v>
      </c>
      <c r="D61" s="31">
        <v>0</v>
      </c>
      <c r="E61" s="31">
        <v>0</v>
      </c>
      <c r="F61" s="31">
        <v>0</v>
      </c>
      <c r="G61" s="31">
        <v>0</v>
      </c>
      <c r="H61" s="31">
        <v>0</v>
      </c>
      <c r="I61" s="31">
        <v>0</v>
      </c>
      <c r="J61" s="31">
        <v>0</v>
      </c>
      <c r="K61" s="31">
        <v>0</v>
      </c>
      <c r="L61" s="31">
        <v>0</v>
      </c>
      <c r="M61" s="31">
        <v>0</v>
      </c>
      <c r="N61" s="31">
        <v>0</v>
      </c>
      <c r="O61" s="31">
        <v>0</v>
      </c>
      <c r="P61" s="31">
        <f>SUM(B61:O61)</f>
        <v>0</v>
      </c>
      <c r="Q61" s="118"/>
      <c r="R61" s="109"/>
      <c r="S61" s="109"/>
      <c r="T61" s="31">
        <f>P61+R61-S61</f>
        <v>0</v>
      </c>
      <c r="V61" s="31">
        <v>0</v>
      </c>
    </row>
    <row r="62" spans="1:22" x14ac:dyDescent="0.2">
      <c r="A62" s="30" t="s">
        <v>9</v>
      </c>
      <c r="B62" s="31">
        <v>0</v>
      </c>
      <c r="C62" s="31">
        <v>0</v>
      </c>
      <c r="D62" s="31">
        <v>0</v>
      </c>
      <c r="E62" s="31">
        <v>0</v>
      </c>
      <c r="F62" s="31">
        <v>0</v>
      </c>
      <c r="G62" s="31">
        <f>510999</f>
        <v>510999</v>
      </c>
      <c r="H62" s="31">
        <f>75921960</f>
        <v>75921960</v>
      </c>
      <c r="I62" s="31">
        <v>0</v>
      </c>
      <c r="J62" s="31">
        <v>456508</v>
      </c>
      <c r="K62" s="31">
        <v>0</v>
      </c>
      <c r="L62" s="31">
        <v>0</v>
      </c>
      <c r="M62" s="31">
        <v>2119187</v>
      </c>
      <c r="N62" s="31">
        <v>0</v>
      </c>
      <c r="O62" s="31">
        <v>0</v>
      </c>
      <c r="P62" s="31">
        <f t="shared" ref="P62:P78" si="1">SUM(B62:O62)</f>
        <v>79008654</v>
      </c>
      <c r="Q62" s="118"/>
      <c r="R62" s="109"/>
      <c r="S62" s="109"/>
      <c r="T62" s="31">
        <f>P62+R62-S62</f>
        <v>79008654</v>
      </c>
      <c r="V62" s="31">
        <v>79009</v>
      </c>
    </row>
    <row r="63" spans="1:22" x14ac:dyDescent="0.2">
      <c r="A63" s="30" t="s">
        <v>10</v>
      </c>
      <c r="B63" s="31">
        <v>0</v>
      </c>
      <c r="C63" s="31">
        <v>0</v>
      </c>
      <c r="D63" s="31">
        <v>0</v>
      </c>
      <c r="E63" s="31">
        <f>93062-93062</f>
        <v>0</v>
      </c>
      <c r="F63" s="31">
        <f>300000</f>
        <v>300000</v>
      </c>
      <c r="G63" s="31">
        <f>15880000+77823</f>
        <v>15957823</v>
      </c>
      <c r="H63" s="31">
        <f>6505846+9472237</f>
        <v>15978083</v>
      </c>
      <c r="I63" s="31">
        <v>0</v>
      </c>
      <c r="J63" s="31">
        <v>152896</v>
      </c>
      <c r="K63" s="31">
        <v>0</v>
      </c>
      <c r="L63" s="31">
        <v>0</v>
      </c>
      <c r="M63" s="31">
        <f>331734+250766</f>
        <v>582500</v>
      </c>
      <c r="N63" s="31">
        <v>0</v>
      </c>
      <c r="O63" s="31">
        <v>0</v>
      </c>
      <c r="P63" s="31">
        <f t="shared" si="1"/>
        <v>32971302</v>
      </c>
      <c r="Q63" s="118"/>
      <c r="R63" s="109"/>
      <c r="S63" s="109">
        <f>'Conso C adjs'!G160</f>
        <v>0</v>
      </c>
      <c r="T63" s="31">
        <f>P63+R63-S63</f>
        <v>32971302</v>
      </c>
      <c r="V63" s="100">
        <v>32971</v>
      </c>
    </row>
    <row r="64" spans="1:22" x14ac:dyDescent="0.2">
      <c r="A64" s="30" t="s">
        <v>11</v>
      </c>
      <c r="B64" s="31">
        <v>319457</v>
      </c>
      <c r="C64" s="31">
        <f>174163</f>
        <v>174163</v>
      </c>
      <c r="D64" s="31">
        <f>1700+1000</f>
        <v>2700</v>
      </c>
      <c r="E64" s="31">
        <v>6966</v>
      </c>
      <c r="F64" s="31">
        <f>4310151-4310151+90060-90060+580+4087+107402+1730</f>
        <v>113799</v>
      </c>
      <c r="G64" s="31">
        <f>3769868+245694</f>
        <v>4015562</v>
      </c>
      <c r="H64" s="31">
        <f>9052+5797468-5521775</f>
        <v>284745</v>
      </c>
      <c r="I64" s="31">
        <v>26669</v>
      </c>
      <c r="J64" s="31">
        <f>2107235-2068804</f>
        <v>38431</v>
      </c>
      <c r="K64" s="31">
        <v>0</v>
      </c>
      <c r="L64" s="31">
        <v>0</v>
      </c>
      <c r="M64" s="31">
        <f>-500+101446</f>
        <v>100946</v>
      </c>
      <c r="N64" s="31">
        <v>0</v>
      </c>
      <c r="O64" s="31">
        <v>0</v>
      </c>
      <c r="P64" s="31">
        <f t="shared" si="1"/>
        <v>5083438</v>
      </c>
      <c r="Q64" s="118"/>
      <c r="R64" s="109"/>
      <c r="S64" s="109">
        <f>'Conso C adjs'!G161</f>
        <v>0</v>
      </c>
      <c r="T64" s="31">
        <f>P64+R64+R65+R66+R67+R68-S68-S67-S66-S65-S64-U64</f>
        <v>5083437</v>
      </c>
      <c r="U64" s="30">
        <v>1</v>
      </c>
      <c r="V64" s="100">
        <v>5084</v>
      </c>
    </row>
    <row r="65" spans="1:22" hidden="1" x14ac:dyDescent="0.2">
      <c r="Q65" s="118"/>
      <c r="R65" s="109"/>
      <c r="S65" s="109"/>
    </row>
    <row r="66" spans="1:22" hidden="1" x14ac:dyDescent="0.2">
      <c r="Q66" s="118"/>
      <c r="R66" s="109"/>
      <c r="S66" s="109"/>
    </row>
    <row r="67" spans="1:22" hidden="1" x14ac:dyDescent="0.2">
      <c r="Q67" s="118"/>
      <c r="R67" s="109"/>
      <c r="S67" s="109"/>
    </row>
    <row r="68" spans="1:22" hidden="1" x14ac:dyDescent="0.2">
      <c r="Q68" s="118"/>
      <c r="R68" s="109"/>
      <c r="S68" s="109"/>
    </row>
    <row r="69" spans="1:22" outlineLevel="1" x14ac:dyDescent="0.2">
      <c r="A69" s="34" t="s">
        <v>36</v>
      </c>
      <c r="B69" s="31">
        <v>0</v>
      </c>
      <c r="C69" s="31">
        <v>0</v>
      </c>
      <c r="D69" s="31">
        <v>0</v>
      </c>
      <c r="E69" s="31">
        <v>0</v>
      </c>
      <c r="F69" s="31">
        <v>0</v>
      </c>
      <c r="G69" s="31">
        <v>0</v>
      </c>
      <c r="H69" s="31">
        <v>0</v>
      </c>
      <c r="I69" s="31">
        <v>0</v>
      </c>
      <c r="J69" s="31">
        <v>0</v>
      </c>
      <c r="K69" s="31">
        <v>0</v>
      </c>
      <c r="L69" s="31">
        <v>0</v>
      </c>
      <c r="M69" s="31">
        <v>0</v>
      </c>
      <c r="N69" s="31">
        <v>0</v>
      </c>
      <c r="O69" s="31">
        <v>0</v>
      </c>
      <c r="P69" s="31">
        <f t="shared" si="1"/>
        <v>0</v>
      </c>
      <c r="Q69" s="118"/>
      <c r="R69" s="109"/>
      <c r="S69" s="109"/>
      <c r="T69" s="31">
        <f>P69+R69-S69</f>
        <v>0</v>
      </c>
      <c r="V69" s="31">
        <v>0</v>
      </c>
    </row>
    <row r="70" spans="1:22" x14ac:dyDescent="0.2">
      <c r="A70" s="30" t="s">
        <v>32</v>
      </c>
      <c r="B70" s="31">
        <v>61978</v>
      </c>
      <c r="C70" s="31">
        <v>0</v>
      </c>
      <c r="D70" s="31">
        <v>179548</v>
      </c>
      <c r="E70" s="31">
        <v>0</v>
      </c>
      <c r="F70" s="31">
        <f>146890+18226-128664</f>
        <v>36452</v>
      </c>
      <c r="G70" s="31">
        <v>0</v>
      </c>
      <c r="H70" s="31">
        <f>153994+14006</f>
        <v>168000</v>
      </c>
      <c r="I70" s="31">
        <v>0</v>
      </c>
      <c r="J70" s="31">
        <v>0</v>
      </c>
      <c r="K70" s="31">
        <v>0</v>
      </c>
      <c r="L70" s="31">
        <v>0</v>
      </c>
      <c r="M70" s="31">
        <v>0</v>
      </c>
      <c r="N70" s="31">
        <v>0</v>
      </c>
      <c r="O70" s="31">
        <v>0</v>
      </c>
      <c r="P70" s="31">
        <f t="shared" si="1"/>
        <v>445978</v>
      </c>
      <c r="Q70" s="54" t="s">
        <v>240</v>
      </c>
      <c r="R70" s="52"/>
      <c r="S70" s="52">
        <f>'Conso P adjs'!E99</f>
        <v>840</v>
      </c>
      <c r="T70" s="31">
        <f>P70+R70+R71-S71-S70</f>
        <v>445138</v>
      </c>
      <c r="V70" s="31">
        <v>404</v>
      </c>
    </row>
    <row r="71" spans="1:22" hidden="1" x14ac:dyDescent="0.2">
      <c r="Q71" s="54" t="s">
        <v>476</v>
      </c>
      <c r="R71" s="52"/>
      <c r="S71" s="52">
        <f>'Conso C adjs'!G102</f>
        <v>0</v>
      </c>
    </row>
    <row r="72" spans="1:22" collapsed="1" x14ac:dyDescent="0.2">
      <c r="A72" s="30" t="s">
        <v>110</v>
      </c>
      <c r="B72" s="31">
        <v>6950898</v>
      </c>
      <c r="C72" s="31">
        <v>0</v>
      </c>
      <c r="D72" s="31">
        <v>0</v>
      </c>
      <c r="E72" s="31">
        <v>0</v>
      </c>
      <c r="F72" s="31">
        <v>0</v>
      </c>
      <c r="G72" s="31">
        <v>0</v>
      </c>
      <c r="H72" s="31">
        <v>0</v>
      </c>
      <c r="I72" s="31">
        <v>0</v>
      </c>
      <c r="J72" s="31">
        <v>0</v>
      </c>
      <c r="K72" s="31">
        <v>0</v>
      </c>
      <c r="L72" s="31">
        <v>0</v>
      </c>
      <c r="M72" s="31">
        <v>0</v>
      </c>
      <c r="N72" s="31">
        <v>0</v>
      </c>
      <c r="O72" s="31">
        <v>0</v>
      </c>
      <c r="P72" s="31">
        <f t="shared" si="1"/>
        <v>6950898</v>
      </c>
      <c r="Q72" s="118"/>
      <c r="R72" s="109"/>
      <c r="S72" s="109"/>
      <c r="T72" s="31">
        <f>P72+R72-S72</f>
        <v>6950898</v>
      </c>
      <c r="V72" s="31">
        <v>6951</v>
      </c>
    </row>
    <row r="73" spans="1:22" x14ac:dyDescent="0.2">
      <c r="A73" s="30" t="s">
        <v>16</v>
      </c>
      <c r="B73" s="31">
        <v>274246</v>
      </c>
      <c r="C73" s="31">
        <f>24246+773956+1047.7</f>
        <v>799249.7</v>
      </c>
      <c r="D73" s="31">
        <v>86314</v>
      </c>
      <c r="E73" s="31">
        <f>45304</f>
        <v>45304</v>
      </c>
      <c r="F73" s="31">
        <f>230+1490791</f>
        <v>1491021</v>
      </c>
      <c r="G73" s="31">
        <f>2293+815+104866+5319</f>
        <v>113293</v>
      </c>
      <c r="H73" s="31">
        <f>842181+5950+5521775</f>
        <v>6369906</v>
      </c>
      <c r="I73" s="31">
        <f>3985+2</f>
        <v>3987</v>
      </c>
      <c r="J73" s="31">
        <f>262740+394+2068804</f>
        <v>2331938</v>
      </c>
      <c r="K73" s="31">
        <f>2+5077+1</f>
        <v>5080</v>
      </c>
      <c r="L73" s="31">
        <f>2+532+1</f>
        <v>535</v>
      </c>
      <c r="M73" s="31">
        <f>1365258-2431</f>
        <v>1362827</v>
      </c>
      <c r="N73" s="31">
        <v>2</v>
      </c>
      <c r="O73" s="31">
        <v>2</v>
      </c>
      <c r="P73" s="31">
        <f t="shared" si="1"/>
        <v>12883704.699999999</v>
      </c>
      <c r="Q73" s="118"/>
      <c r="R73" s="109"/>
      <c r="S73" s="109"/>
      <c r="T73" s="31">
        <f>P73+R73+R74+R75+R76+R77-S77-S76-S75-S74-S73</f>
        <v>12883704.699999999</v>
      </c>
      <c r="V73" s="52">
        <v>12884</v>
      </c>
    </row>
    <row r="74" spans="1:22" hidden="1" x14ac:dyDescent="0.2">
      <c r="Q74" s="118"/>
      <c r="R74" s="109"/>
      <c r="S74" s="109"/>
    </row>
    <row r="75" spans="1:22" hidden="1" x14ac:dyDescent="0.2">
      <c r="Q75" s="118"/>
      <c r="R75" s="109"/>
      <c r="S75" s="109"/>
    </row>
    <row r="76" spans="1:22" hidden="1" x14ac:dyDescent="0.2">
      <c r="Q76" s="118"/>
      <c r="R76" s="109"/>
      <c r="S76" s="109"/>
    </row>
    <row r="77" spans="1:22" hidden="1" x14ac:dyDescent="0.2">
      <c r="Q77" s="118"/>
      <c r="R77" s="109"/>
      <c r="S77" s="109"/>
    </row>
    <row r="78" spans="1:22" x14ac:dyDescent="0.2">
      <c r="A78" s="64" t="s">
        <v>348</v>
      </c>
      <c r="B78" s="31">
        <v>0</v>
      </c>
      <c r="C78" s="31">
        <f>5480000+26969145+7481900</f>
        <v>39931045</v>
      </c>
      <c r="D78" s="31">
        <v>0</v>
      </c>
      <c r="E78" s="31">
        <v>0</v>
      </c>
      <c r="F78" s="31">
        <v>0</v>
      </c>
      <c r="G78" s="31">
        <v>0</v>
      </c>
      <c r="H78" s="31">
        <v>0</v>
      </c>
      <c r="I78" s="31">
        <v>0</v>
      </c>
      <c r="J78" s="31">
        <v>0</v>
      </c>
      <c r="K78" s="31">
        <v>0</v>
      </c>
      <c r="L78" s="31">
        <v>0</v>
      </c>
      <c r="M78" s="31">
        <v>0</v>
      </c>
      <c r="N78" s="31">
        <v>0</v>
      </c>
      <c r="O78" s="31">
        <v>0</v>
      </c>
      <c r="P78" s="31">
        <f t="shared" si="1"/>
        <v>39931045</v>
      </c>
      <c r="Q78" s="118"/>
      <c r="R78" s="109"/>
      <c r="S78" s="109">
        <f>'Conso C adjs'!G170</f>
        <v>0</v>
      </c>
      <c r="T78" s="31">
        <f>P78+R78-S78</f>
        <v>39931045</v>
      </c>
      <c r="V78" s="97">
        <v>39931</v>
      </c>
    </row>
    <row r="79" spans="1:22" x14ac:dyDescent="0.2">
      <c r="A79" s="34" t="s">
        <v>65</v>
      </c>
      <c r="B79" s="31">
        <v>86469117</v>
      </c>
      <c r="C79" s="31">
        <v>0</v>
      </c>
      <c r="D79" s="31">
        <v>21853</v>
      </c>
      <c r="E79" s="31">
        <v>0</v>
      </c>
      <c r="F79" s="31">
        <v>105912083</v>
      </c>
      <c r="G79" s="31">
        <f>22271594</f>
        <v>22271594</v>
      </c>
      <c r="H79" s="31">
        <v>0</v>
      </c>
      <c r="I79" s="31">
        <v>0</v>
      </c>
      <c r="J79" s="31">
        <v>0</v>
      </c>
      <c r="K79" s="31">
        <v>0</v>
      </c>
      <c r="L79" s="31">
        <v>0</v>
      </c>
      <c r="M79" s="31">
        <v>0</v>
      </c>
      <c r="N79" s="31">
        <v>0</v>
      </c>
      <c r="O79" s="31">
        <v>0</v>
      </c>
      <c r="P79" s="31">
        <f>SUM(B79:O79)</f>
        <v>214674647</v>
      </c>
      <c r="Q79" s="54" t="s">
        <v>477</v>
      </c>
      <c r="R79" s="52"/>
      <c r="S79" s="52">
        <f>'Conso C adjs'!G109</f>
        <v>95062813</v>
      </c>
      <c r="T79" s="31">
        <f>P79+R79-S79+U79</f>
        <v>119611835</v>
      </c>
      <c r="U79" s="30">
        <v>1</v>
      </c>
      <c r="V79" s="31">
        <v>0</v>
      </c>
    </row>
    <row r="80" spans="1:22" x14ac:dyDescent="0.2">
      <c r="B80" s="35">
        <f>SUM(B61:B79)</f>
        <v>94075696</v>
      </c>
      <c r="C80" s="35">
        <f>SUM(C61:C79)</f>
        <v>40904457.700000003</v>
      </c>
      <c r="D80" s="35">
        <f t="shared" ref="D80:P80" si="2">SUM(D61:D79)</f>
        <v>290415</v>
      </c>
      <c r="E80" s="35">
        <f t="shared" si="2"/>
        <v>52270</v>
      </c>
      <c r="F80" s="35">
        <f t="shared" si="2"/>
        <v>107853355</v>
      </c>
      <c r="G80" s="35">
        <f t="shared" si="2"/>
        <v>42869271</v>
      </c>
      <c r="H80" s="35">
        <f t="shared" si="2"/>
        <v>98722694</v>
      </c>
      <c r="I80" s="35">
        <f t="shared" si="2"/>
        <v>30656</v>
      </c>
      <c r="J80" s="35">
        <f t="shared" si="2"/>
        <v>2979773</v>
      </c>
      <c r="K80" s="35">
        <f t="shared" si="2"/>
        <v>5080</v>
      </c>
      <c r="L80" s="35">
        <f t="shared" si="2"/>
        <v>535</v>
      </c>
      <c r="M80" s="35">
        <f t="shared" si="2"/>
        <v>4165460</v>
      </c>
      <c r="N80" s="35">
        <f t="shared" si="2"/>
        <v>2</v>
      </c>
      <c r="O80" s="35">
        <f t="shared" si="2"/>
        <v>2</v>
      </c>
      <c r="P80" s="35">
        <f t="shared" si="2"/>
        <v>391949666.69999999</v>
      </c>
      <c r="Q80" s="118"/>
      <c r="R80" s="109"/>
      <c r="S80" s="109"/>
      <c r="T80" s="35">
        <f>SUM(T61:T79)</f>
        <v>296886013.69999999</v>
      </c>
      <c r="V80" s="35">
        <f>SUM(V61:V79)</f>
        <v>177234</v>
      </c>
    </row>
    <row r="81" spans="1:29" hidden="1" x14ac:dyDescent="0.2">
      <c r="A81" s="34" t="s">
        <v>91</v>
      </c>
      <c r="Q81" s="118"/>
      <c r="R81" s="109"/>
      <c r="S81" s="109"/>
    </row>
    <row r="82" spans="1:29" hidden="1" x14ac:dyDescent="0.2">
      <c r="A82" s="34" t="s">
        <v>92</v>
      </c>
      <c r="B82" s="36">
        <v>0</v>
      </c>
      <c r="C82" s="36">
        <v>0</v>
      </c>
      <c r="D82" s="36">
        <v>0</v>
      </c>
      <c r="E82" s="36">
        <v>0</v>
      </c>
      <c r="F82" s="36">
        <v>0</v>
      </c>
      <c r="G82" s="36">
        <v>0</v>
      </c>
      <c r="H82" s="36">
        <v>0</v>
      </c>
      <c r="I82" s="36">
        <v>0</v>
      </c>
      <c r="J82" s="36">
        <v>0</v>
      </c>
      <c r="K82" s="31">
        <v>0</v>
      </c>
      <c r="M82" s="31">
        <v>0</v>
      </c>
      <c r="N82" s="31">
        <v>0</v>
      </c>
      <c r="O82" s="31">
        <v>0</v>
      </c>
      <c r="P82" s="31">
        <f>SUM(B82:O82)</f>
        <v>0</v>
      </c>
      <c r="Q82" s="118"/>
      <c r="R82" s="109"/>
      <c r="S82" s="109"/>
      <c r="T82" s="31">
        <f>P82+R82+R83+R84+R85+R86-S86-S85-S84-S83-S82</f>
        <v>0</v>
      </c>
      <c r="V82" s="31">
        <v>0</v>
      </c>
    </row>
    <row r="83" spans="1:29" hidden="1" x14ac:dyDescent="0.2">
      <c r="A83" s="34"/>
      <c r="Q83" s="118"/>
      <c r="R83" s="109"/>
      <c r="S83" s="109"/>
    </row>
    <row r="84" spans="1:29" hidden="1" x14ac:dyDescent="0.2">
      <c r="A84" s="34"/>
      <c r="Q84" s="118"/>
      <c r="R84" s="109"/>
      <c r="S84" s="109"/>
    </row>
    <row r="85" spans="1:29" hidden="1" x14ac:dyDescent="0.2">
      <c r="A85" s="34"/>
      <c r="Q85" s="118"/>
      <c r="R85" s="109"/>
      <c r="S85" s="109"/>
    </row>
    <row r="86" spans="1:29" hidden="1" x14ac:dyDescent="0.2">
      <c r="A86" s="34"/>
      <c r="Q86" s="118"/>
      <c r="R86" s="109"/>
      <c r="S86" s="109"/>
    </row>
    <row r="87" spans="1:29" hidden="1" x14ac:dyDescent="0.2">
      <c r="A87" s="34"/>
      <c r="B87" s="36"/>
      <c r="C87" s="36"/>
      <c r="D87" s="36"/>
      <c r="E87" s="36"/>
      <c r="F87" s="36"/>
      <c r="G87" s="36"/>
      <c r="H87" s="36"/>
      <c r="I87" s="36"/>
      <c r="J87" s="36"/>
      <c r="Q87" s="118"/>
      <c r="R87" s="109"/>
      <c r="S87" s="109"/>
    </row>
    <row r="88" spans="1:29" x14ac:dyDescent="0.2">
      <c r="A88" s="34"/>
      <c r="B88" s="35">
        <f>B80+B82</f>
        <v>94075696</v>
      </c>
      <c r="C88" s="35">
        <f t="shared" ref="C88:P88" si="3">C80+C82</f>
        <v>40904457.700000003</v>
      </c>
      <c r="D88" s="35">
        <f t="shared" si="3"/>
        <v>290415</v>
      </c>
      <c r="E88" s="35">
        <f t="shared" si="3"/>
        <v>52270</v>
      </c>
      <c r="F88" s="35">
        <f t="shared" si="3"/>
        <v>107853355</v>
      </c>
      <c r="G88" s="35">
        <f t="shared" si="3"/>
        <v>42869271</v>
      </c>
      <c r="H88" s="35">
        <f t="shared" si="3"/>
        <v>98722694</v>
      </c>
      <c r="I88" s="35">
        <f t="shared" si="3"/>
        <v>30656</v>
      </c>
      <c r="J88" s="35">
        <f t="shared" si="3"/>
        <v>2979773</v>
      </c>
      <c r="K88" s="35">
        <f t="shared" si="3"/>
        <v>5080</v>
      </c>
      <c r="L88" s="35">
        <f t="shared" si="3"/>
        <v>535</v>
      </c>
      <c r="M88" s="35">
        <f t="shared" si="3"/>
        <v>4165460</v>
      </c>
      <c r="N88" s="35">
        <f t="shared" si="3"/>
        <v>2</v>
      </c>
      <c r="O88" s="35">
        <f t="shared" si="3"/>
        <v>2</v>
      </c>
      <c r="P88" s="35">
        <f t="shared" si="3"/>
        <v>391949666.69999999</v>
      </c>
      <c r="Q88" s="118"/>
      <c r="R88" s="109"/>
      <c r="S88" s="109"/>
      <c r="T88" s="35">
        <f>T80+T82</f>
        <v>296886013.69999999</v>
      </c>
      <c r="V88" s="35">
        <f>V80+V82</f>
        <v>177234</v>
      </c>
    </row>
    <row r="89" spans="1:29" ht="12" thickBot="1" x14ac:dyDescent="0.25">
      <c r="A89" s="33" t="s">
        <v>38</v>
      </c>
      <c r="B89" s="37">
        <f>B59+B88</f>
        <v>240696470</v>
      </c>
      <c r="C89" s="37">
        <f t="shared" ref="C89:P89" si="4">C59+C88</f>
        <v>41841978.700000003</v>
      </c>
      <c r="D89" s="37">
        <f t="shared" si="4"/>
        <v>4001445</v>
      </c>
      <c r="E89" s="37">
        <f t="shared" si="4"/>
        <v>1587452</v>
      </c>
      <c r="F89" s="37">
        <f t="shared" si="4"/>
        <v>108987388</v>
      </c>
      <c r="G89" s="37">
        <f t="shared" si="4"/>
        <v>51527409</v>
      </c>
      <c r="H89" s="37">
        <f t="shared" si="4"/>
        <v>99757117</v>
      </c>
      <c r="I89" s="37">
        <f t="shared" si="4"/>
        <v>30656</v>
      </c>
      <c r="J89" s="37">
        <f t="shared" si="4"/>
        <v>3200614</v>
      </c>
      <c r="K89" s="37">
        <f t="shared" si="4"/>
        <v>29739711</v>
      </c>
      <c r="L89" s="37">
        <f t="shared" si="4"/>
        <v>535</v>
      </c>
      <c r="M89" s="37">
        <f t="shared" si="4"/>
        <v>4349396</v>
      </c>
      <c r="N89" s="37">
        <f t="shared" si="4"/>
        <v>2</v>
      </c>
      <c r="O89" s="37">
        <f t="shared" si="4"/>
        <v>2</v>
      </c>
      <c r="P89" s="37">
        <f t="shared" si="4"/>
        <v>585720175.70000005</v>
      </c>
      <c r="Q89" s="118"/>
      <c r="R89" s="109"/>
      <c r="S89" s="109"/>
      <c r="T89" s="37">
        <f>T59+T88</f>
        <v>394197509.69999999</v>
      </c>
      <c r="V89" s="37">
        <f>V59+V88</f>
        <v>281973</v>
      </c>
      <c r="W89" s="51"/>
      <c r="X89" s="51">
        <f>G89+H89+I89+J89+M89</f>
        <v>158865192</v>
      </c>
      <c r="Y89" s="51">
        <f>D89+E89+F89+K89</f>
        <v>144315996</v>
      </c>
      <c r="Z89" s="51">
        <f>C89</f>
        <v>41841978.700000003</v>
      </c>
      <c r="AA89" s="51">
        <f>B89+L89+N89+O89</f>
        <v>240697009</v>
      </c>
      <c r="AB89" s="51">
        <f>SUM(W89:AA89)</f>
        <v>585720175.70000005</v>
      </c>
    </row>
    <row r="90" spans="1:29" ht="12" thickTop="1" x14ac:dyDescent="0.2">
      <c r="Q90" s="118"/>
      <c r="R90" s="109"/>
      <c r="S90" s="109"/>
      <c r="X90" s="31">
        <f>'Conso P adjs'!H4</f>
        <v>0</v>
      </c>
      <c r="Y90" s="31">
        <f>'Conso P adjs'!I4</f>
        <v>0</v>
      </c>
      <c r="Z90" s="31"/>
      <c r="AB90" s="51">
        <f>SUM(R8:R87)</f>
        <v>316744726</v>
      </c>
    </row>
    <row r="91" spans="1:29" x14ac:dyDescent="0.2">
      <c r="A91" s="33" t="s">
        <v>37</v>
      </c>
      <c r="Q91" s="118"/>
      <c r="R91" s="109"/>
      <c r="S91" s="109"/>
      <c r="X91" s="51">
        <f>SUM(X89:X90)</f>
        <v>158865192</v>
      </c>
      <c r="Y91" s="51">
        <f>SUM(Y89:Y90)</f>
        <v>144315996</v>
      </c>
      <c r="Z91" s="51"/>
      <c r="AB91" s="51">
        <f>-SUM(S8:S87)</f>
        <v>-508267394</v>
      </c>
      <c r="AC91" s="51">
        <f>SUM(AB90:AB91)</f>
        <v>-191522668</v>
      </c>
    </row>
    <row r="92" spans="1:29" x14ac:dyDescent="0.2">
      <c r="A92" s="33" t="s">
        <v>58</v>
      </c>
      <c r="Q92" s="118"/>
      <c r="R92" s="109"/>
      <c r="S92" s="109"/>
      <c r="AB92" s="51">
        <f>SUM(AB89:AB91)</f>
        <v>394197507.70000005</v>
      </c>
    </row>
    <row r="93" spans="1:29" x14ac:dyDescent="0.2">
      <c r="A93" s="33" t="s">
        <v>57</v>
      </c>
      <c r="Q93" s="118"/>
      <c r="R93" s="109"/>
      <c r="S93" s="109"/>
      <c r="AB93" s="51">
        <f>SUM(AB90:AB91)</f>
        <v>-191522668</v>
      </c>
    </row>
    <row r="94" spans="1:29" x14ac:dyDescent="0.2">
      <c r="A94" s="30" t="s">
        <v>14</v>
      </c>
      <c r="B94" s="31">
        <v>195934471</v>
      </c>
      <c r="C94" s="31">
        <f>100+1999900</f>
        <v>2000000</v>
      </c>
      <c r="D94" s="31">
        <v>28000000</v>
      </c>
      <c r="E94" s="31">
        <v>4000002</v>
      </c>
      <c r="F94" s="31">
        <v>1000000</v>
      </c>
      <c r="G94" s="31">
        <v>1000000</v>
      </c>
      <c r="H94" s="31">
        <v>2500000</v>
      </c>
      <c r="I94" s="31">
        <v>2</v>
      </c>
      <c r="J94" s="31">
        <v>100000</v>
      </c>
      <c r="K94" s="31">
        <v>100000</v>
      </c>
      <c r="L94" s="31">
        <v>2</v>
      </c>
      <c r="M94" s="31">
        <v>1100002</v>
      </c>
      <c r="N94" s="31">
        <v>2</v>
      </c>
      <c r="O94" s="31">
        <v>2</v>
      </c>
      <c r="P94" s="31">
        <f>SUM(B94:O94)</f>
        <v>235734483</v>
      </c>
      <c r="Q94" s="54" t="s">
        <v>225</v>
      </c>
      <c r="R94" s="52">
        <f>'Conso P adjs'!D9</f>
        <v>28000000</v>
      </c>
      <c r="S94" s="109"/>
      <c r="T94" s="31">
        <f>P94-R94-R95-R96-R97-R98-R99-R100-R101-R102-R103-R104-R105+S105+S104+S103+S102+S101+S100+S99+S98+S94+S95+S96+S97</f>
        <v>201934373</v>
      </c>
      <c r="V94" s="31">
        <v>195935</v>
      </c>
    </row>
    <row r="95" spans="1:29" hidden="1" x14ac:dyDescent="0.2">
      <c r="Q95" s="54" t="s">
        <v>225</v>
      </c>
      <c r="R95" s="52">
        <f>'Conso P adjs'!D10</f>
        <v>0</v>
      </c>
      <c r="S95" s="109"/>
    </row>
    <row r="96" spans="1:29" hidden="1" x14ac:dyDescent="0.2">
      <c r="Q96" s="54" t="s">
        <v>227</v>
      </c>
      <c r="R96" s="52">
        <f>'Conso P adjs'!D17</f>
        <v>1000000</v>
      </c>
      <c r="S96" s="52"/>
    </row>
    <row r="97" spans="1:22" hidden="1" x14ac:dyDescent="0.2">
      <c r="Q97" s="54" t="s">
        <v>228</v>
      </c>
      <c r="R97" s="52">
        <f>'Conso P adjs'!D27+'Conso P adjs'!D28+'Conso P adjs'!D29+'Conso P adjs'!D30</f>
        <v>2100006</v>
      </c>
      <c r="S97" s="52"/>
    </row>
    <row r="98" spans="1:22" hidden="1" x14ac:dyDescent="0.2">
      <c r="Q98" s="54" t="s">
        <v>255</v>
      </c>
      <c r="R98" s="52">
        <f>'Conso P adjs'!D182+'Conso P adjs'!D183</f>
        <v>4</v>
      </c>
      <c r="S98" s="52"/>
    </row>
    <row r="99" spans="1:22" hidden="1" x14ac:dyDescent="0.2">
      <c r="Q99" s="54" t="s">
        <v>259</v>
      </c>
      <c r="R99" s="52">
        <f>'Conso P adjs'!D206</f>
        <v>100000</v>
      </c>
      <c r="S99" s="52"/>
    </row>
    <row r="100" spans="1:22" hidden="1" x14ac:dyDescent="0.2">
      <c r="Q100" s="54" t="s">
        <v>274</v>
      </c>
      <c r="R100" s="52">
        <f>'Conso P adjs'!D217</f>
        <v>2500000</v>
      </c>
      <c r="S100" s="52"/>
    </row>
    <row r="101" spans="1:22" hidden="1" x14ac:dyDescent="0.2">
      <c r="Q101" s="54" t="s">
        <v>275</v>
      </c>
      <c r="R101" s="52">
        <f>'Conso P adjs'!D226</f>
        <v>100000</v>
      </c>
      <c r="S101" s="52"/>
    </row>
    <row r="102" spans="1:22" hidden="1" x14ac:dyDescent="0.2">
      <c r="Q102" s="54" t="s">
        <v>456</v>
      </c>
      <c r="R102" s="52">
        <f>'Conso P adjs'!D244</f>
        <v>70</v>
      </c>
      <c r="S102" s="52"/>
    </row>
    <row r="103" spans="1:22" hidden="1" x14ac:dyDescent="0.2">
      <c r="Q103" s="54" t="s">
        <v>456</v>
      </c>
      <c r="R103" s="52">
        <f>'Conso P adjs'!D246</f>
        <v>30</v>
      </c>
      <c r="S103" s="52"/>
    </row>
    <row r="104" spans="1:22" hidden="1" x14ac:dyDescent="0.2">
      <c r="Q104" s="54" t="s">
        <v>486</v>
      </c>
      <c r="R104" s="52">
        <f>'Conso C adjs'!F173</f>
        <v>0</v>
      </c>
      <c r="S104" s="52"/>
    </row>
    <row r="105" spans="1:22" hidden="1" x14ac:dyDescent="0.2">
      <c r="Q105" s="54" t="s">
        <v>486</v>
      </c>
      <c r="R105" s="52">
        <f>'Conso C adjs'!F174</f>
        <v>0</v>
      </c>
      <c r="S105" s="52"/>
    </row>
    <row r="106" spans="1:22" x14ac:dyDescent="0.2">
      <c r="A106" s="30" t="s">
        <v>111</v>
      </c>
      <c r="B106" s="31">
        <v>20494100</v>
      </c>
      <c r="C106" s="31">
        <v>0</v>
      </c>
      <c r="D106" s="31">
        <v>0</v>
      </c>
      <c r="E106" s="31">
        <v>0</v>
      </c>
      <c r="F106" s="31">
        <v>0</v>
      </c>
      <c r="G106" s="31">
        <v>0</v>
      </c>
      <c r="H106" s="31">
        <v>0</v>
      </c>
      <c r="I106" s="31">
        <v>0</v>
      </c>
      <c r="J106" s="31">
        <v>0</v>
      </c>
      <c r="K106" s="31">
        <v>0</v>
      </c>
      <c r="L106" s="31">
        <v>0</v>
      </c>
      <c r="M106" s="31">
        <v>0</v>
      </c>
      <c r="N106" s="31">
        <v>0</v>
      </c>
      <c r="O106" s="31">
        <v>0</v>
      </c>
      <c r="P106" s="31">
        <f>SUM(B106:O106)</f>
        <v>20494100</v>
      </c>
      <c r="Q106" s="118"/>
      <c r="R106" s="109"/>
      <c r="S106" s="109"/>
      <c r="T106" s="31">
        <f>P106-R106+S106</f>
        <v>20494100</v>
      </c>
      <c r="V106" s="31">
        <v>20494</v>
      </c>
    </row>
    <row r="107" spans="1:22" x14ac:dyDescent="0.2">
      <c r="A107" s="30" t="s">
        <v>25</v>
      </c>
      <c r="B107" s="31">
        <v>3805990</v>
      </c>
      <c r="C107" s="31">
        <v>0</v>
      </c>
      <c r="D107" s="31">
        <v>0</v>
      </c>
      <c r="E107" s="31">
        <v>0</v>
      </c>
      <c r="F107" s="31">
        <v>0</v>
      </c>
      <c r="G107" s="31">
        <v>0</v>
      </c>
      <c r="H107" s="31">
        <v>0</v>
      </c>
      <c r="I107" s="31">
        <v>0</v>
      </c>
      <c r="J107" s="31">
        <v>0</v>
      </c>
      <c r="K107" s="31">
        <v>0</v>
      </c>
      <c r="L107" s="31">
        <v>0</v>
      </c>
      <c r="M107" s="31">
        <v>0</v>
      </c>
      <c r="N107" s="31">
        <v>0</v>
      </c>
      <c r="O107" s="31">
        <v>0</v>
      </c>
      <c r="P107" s="31">
        <f>SUM(B107:O107)</f>
        <v>3805990</v>
      </c>
      <c r="Q107" s="118"/>
      <c r="R107" s="109"/>
      <c r="S107" s="109"/>
      <c r="T107" s="31">
        <f>P107-R107+S107</f>
        <v>3805990</v>
      </c>
      <c r="V107" s="31">
        <v>3806</v>
      </c>
    </row>
    <row r="108" spans="1:22" x14ac:dyDescent="0.2">
      <c r="A108" s="34" t="s">
        <v>71</v>
      </c>
      <c r="B108" s="31">
        <f>-3279647</f>
        <v>-3279647</v>
      </c>
      <c r="C108" s="31">
        <v>0</v>
      </c>
      <c r="D108" s="31">
        <v>0</v>
      </c>
      <c r="E108" s="31">
        <v>0</v>
      </c>
      <c r="F108" s="31">
        <v>0</v>
      </c>
      <c r="G108" s="31">
        <v>0</v>
      </c>
      <c r="H108" s="31">
        <v>0</v>
      </c>
      <c r="I108" s="31">
        <v>0</v>
      </c>
      <c r="J108" s="31">
        <v>0</v>
      </c>
      <c r="K108" s="31">
        <v>0</v>
      </c>
      <c r="L108" s="31">
        <v>0</v>
      </c>
      <c r="M108" s="31">
        <v>0</v>
      </c>
      <c r="N108" s="31">
        <v>0</v>
      </c>
      <c r="O108" s="31">
        <v>0</v>
      </c>
      <c r="P108" s="31">
        <f>SUM(B108:O108)</f>
        <v>-3279647</v>
      </c>
      <c r="Q108" s="118"/>
      <c r="R108" s="109"/>
      <c r="S108" s="109"/>
      <c r="T108" s="31">
        <f>P108-R108+S108</f>
        <v>-3279647</v>
      </c>
      <c r="V108" s="31">
        <v>-3280</v>
      </c>
    </row>
    <row r="109" spans="1:22" x14ac:dyDescent="0.2">
      <c r="A109" s="55" t="s">
        <v>226</v>
      </c>
      <c r="B109" s="31">
        <v>8075692</v>
      </c>
      <c r="C109" s="31">
        <v>0</v>
      </c>
      <c r="D109" s="31">
        <v>0</v>
      </c>
      <c r="E109" s="31">
        <v>0</v>
      </c>
      <c r="F109" s="31">
        <v>0</v>
      </c>
      <c r="G109" s="31">
        <v>0</v>
      </c>
      <c r="H109" s="31">
        <v>0</v>
      </c>
      <c r="I109" s="31">
        <v>0</v>
      </c>
      <c r="J109" s="31">
        <v>0</v>
      </c>
      <c r="K109" s="31">
        <v>0</v>
      </c>
      <c r="L109" s="31">
        <v>0</v>
      </c>
      <c r="M109" s="31">
        <v>0</v>
      </c>
      <c r="N109" s="31">
        <v>0</v>
      </c>
      <c r="O109" s="31">
        <v>0</v>
      </c>
      <c r="P109" s="31">
        <f>SUM(B109:O109)</f>
        <v>8075692</v>
      </c>
      <c r="Q109" s="54" t="s">
        <v>225</v>
      </c>
      <c r="R109" s="52">
        <f>'Conso P adjs'!D11</f>
        <v>27606591</v>
      </c>
      <c r="S109" s="109"/>
      <c r="T109" s="31">
        <f>P109-R109-R110-R111-R112-R113-R114-R115-R116-R117-R118-R119-R120-R121+S121+S120+S119+S118+S117+S116+S115+S114+S113+S112+S111+S110+S109</f>
        <v>-8141012</v>
      </c>
      <c r="V109" s="31">
        <v>-8141</v>
      </c>
    </row>
    <row r="110" spans="1:22" hidden="1" x14ac:dyDescent="0.2">
      <c r="A110" s="55"/>
      <c r="Q110" s="54" t="s">
        <v>227</v>
      </c>
      <c r="R110" s="52">
        <f>'Conso P adjs'!D18</f>
        <v>2673302</v>
      </c>
      <c r="S110" s="52"/>
    </row>
    <row r="111" spans="1:22" hidden="1" x14ac:dyDescent="0.2">
      <c r="A111" s="55"/>
      <c r="Q111" s="54" t="s">
        <v>235</v>
      </c>
      <c r="R111" s="52"/>
      <c r="S111" s="52">
        <f>'Conso P adjs'!E71</f>
        <v>653706</v>
      </c>
    </row>
    <row r="112" spans="1:22" hidden="1" x14ac:dyDescent="0.2">
      <c r="A112" s="55"/>
      <c r="Q112" s="54" t="s">
        <v>236</v>
      </c>
      <c r="R112" s="52"/>
      <c r="S112" s="52">
        <f>'Conso P adjs'!E77</f>
        <v>257209</v>
      </c>
    </row>
    <row r="113" spans="1:22" hidden="1" x14ac:dyDescent="0.2">
      <c r="A113" s="55"/>
      <c r="Q113" s="54" t="s">
        <v>238</v>
      </c>
      <c r="R113" s="52"/>
      <c r="S113" s="52">
        <f>'Conso P adjs'!E84</f>
        <v>257207</v>
      </c>
    </row>
    <row r="114" spans="1:22" hidden="1" x14ac:dyDescent="0.2">
      <c r="A114" s="55"/>
      <c r="Q114" s="54" t="s">
        <v>239</v>
      </c>
      <c r="R114" s="52"/>
      <c r="S114" s="52">
        <f>'Conso P adjs'!E91</f>
        <v>3066905</v>
      </c>
    </row>
    <row r="115" spans="1:22" hidden="1" x14ac:dyDescent="0.2">
      <c r="A115" s="55"/>
      <c r="Q115" s="54" t="s">
        <v>240</v>
      </c>
      <c r="R115" s="52">
        <f>'Conso P adjs'!D96</f>
        <v>1033849</v>
      </c>
      <c r="S115" s="52"/>
    </row>
    <row r="116" spans="1:22" hidden="1" x14ac:dyDescent="0.2">
      <c r="A116" s="55"/>
      <c r="Q116" s="54" t="s">
        <v>241</v>
      </c>
      <c r="R116" s="52"/>
      <c r="S116" s="52">
        <f>'Conso P adjs'!E105</f>
        <v>5222900</v>
      </c>
    </row>
    <row r="117" spans="1:22" hidden="1" x14ac:dyDescent="0.2">
      <c r="A117" s="55"/>
      <c r="Q117" s="54" t="s">
        <v>243</v>
      </c>
      <c r="R117" s="52"/>
      <c r="S117" s="52">
        <f>'Conso P adjs'!E117</f>
        <v>1929786</v>
      </c>
    </row>
    <row r="118" spans="1:22" hidden="1" x14ac:dyDescent="0.2">
      <c r="A118" s="55"/>
      <c r="Q118" s="54" t="s">
        <v>244</v>
      </c>
      <c r="R118" s="52"/>
      <c r="S118" s="52">
        <f>'Conso P adjs'!E124</f>
        <v>3780066</v>
      </c>
    </row>
    <row r="119" spans="1:22" hidden="1" x14ac:dyDescent="0.2">
      <c r="A119" s="55"/>
      <c r="Q119" s="54" t="s">
        <v>245</v>
      </c>
      <c r="R119" s="52">
        <f>'Conso P adjs'!D128</f>
        <v>148274</v>
      </c>
      <c r="S119" s="52"/>
    </row>
    <row r="120" spans="1:22" hidden="1" x14ac:dyDescent="0.2">
      <c r="A120" s="55"/>
      <c r="Q120" s="54" t="s">
        <v>246</v>
      </c>
      <c r="R120" s="52">
        <f>'Conso P adjs'!D135</f>
        <v>499333</v>
      </c>
      <c r="S120" s="52"/>
    </row>
    <row r="121" spans="1:22" hidden="1" x14ac:dyDescent="0.2">
      <c r="A121" s="55"/>
      <c r="Q121" s="54" t="s">
        <v>247</v>
      </c>
      <c r="R121" s="52"/>
      <c r="S121" s="52">
        <f>'Conso P adjs'!E141</f>
        <v>576866</v>
      </c>
    </row>
    <row r="122" spans="1:22" x14ac:dyDescent="0.2">
      <c r="A122" s="30" t="s">
        <v>39</v>
      </c>
      <c r="B122" s="31">
        <f>-61393906-6818793</f>
        <v>-68212699</v>
      </c>
      <c r="C122" s="31">
        <f>-487483-1514-819378</f>
        <v>-1308375</v>
      </c>
      <c r="D122" s="31">
        <f>-25210129-540145</f>
        <v>-25750274</v>
      </c>
      <c r="E122" s="31">
        <f>-3782627-94666</f>
        <v>-3877293</v>
      </c>
      <c r="F122" s="31">
        <f>115458190-3832744</f>
        <v>111625446</v>
      </c>
      <c r="G122" s="31">
        <f>-4180212-3138328</f>
        <v>-7318540</v>
      </c>
      <c r="H122" s="31">
        <f>-480875+123871</f>
        <v>-357004</v>
      </c>
      <c r="I122" s="31">
        <f>-38622-8063</f>
        <v>-46685</v>
      </c>
      <c r="J122" s="31">
        <f>-308285-178035</f>
        <v>-486320</v>
      </c>
      <c r="K122" s="31">
        <f>-12814-3603</f>
        <v>-16417</v>
      </c>
      <c r="L122" s="31">
        <f>-11670-1736</f>
        <v>-13406</v>
      </c>
      <c r="M122" s="31">
        <f>-6814-254120</f>
        <v>-260934</v>
      </c>
      <c r="N122" s="31">
        <f>-6915-2279</f>
        <v>-9194</v>
      </c>
      <c r="O122" s="31">
        <f>-6877-2229</f>
        <v>-9106</v>
      </c>
      <c r="P122" s="31">
        <f>SUM(B122:O122)</f>
        <v>3959199</v>
      </c>
      <c r="Q122" s="54" t="s">
        <v>227</v>
      </c>
      <c r="R122" s="52">
        <f>'Conso P adjs'!D19</f>
        <v>68955405</v>
      </c>
      <c r="S122" s="52"/>
      <c r="T122" s="31">
        <f>P122-R122-R123-R124-R125-R126-R127-R128-R129-R130-R131-R132-R133-R134-R135-R136-R137-R138-R139-R140-R141-R142-R143-R144-R145-R146-R147-R148-R149-R150-R151-R152-R153-R154-R155-R156+S156+S155+S154+S153+S152+S151+S150+S149+S148+S147+S146+S145+S144+S143+S142+S141+S140+S139+S138+S137+S136+S135+S134+S133+S132+S131+S130+S129+S128+S122+S123+S124+S125+S126+S127</f>
        <v>-58133534</v>
      </c>
      <c r="U122" s="31">
        <v>-52180498</v>
      </c>
      <c r="V122" s="31">
        <v>-52180</v>
      </c>
    </row>
    <row r="123" spans="1:22" hidden="1" x14ac:dyDescent="0.2">
      <c r="Q123" s="54" t="s">
        <v>229</v>
      </c>
      <c r="R123" s="52">
        <f>'Conso P adjs'!D35</f>
        <v>11117219</v>
      </c>
      <c r="S123" s="52"/>
      <c r="U123" s="31"/>
    </row>
    <row r="124" spans="1:22" hidden="1" x14ac:dyDescent="0.2">
      <c r="B124" s="30"/>
      <c r="C124" s="30"/>
      <c r="D124" s="30"/>
      <c r="E124" s="30"/>
      <c r="F124" s="30"/>
      <c r="G124" s="30"/>
      <c r="H124" s="30"/>
      <c r="I124" s="30"/>
      <c r="J124" s="30"/>
      <c r="K124" s="30"/>
      <c r="L124" s="30"/>
      <c r="M124" s="30"/>
      <c r="N124" s="30"/>
      <c r="O124" s="30"/>
      <c r="P124" s="30"/>
      <c r="Q124" s="54" t="s">
        <v>230</v>
      </c>
      <c r="R124" s="52">
        <f>'Conso P adjs'!D42</f>
        <v>3500000</v>
      </c>
      <c r="S124" s="52"/>
      <c r="U124" s="31"/>
    </row>
    <row r="125" spans="1:22" hidden="1" x14ac:dyDescent="0.2">
      <c r="B125" s="30"/>
      <c r="C125" s="30"/>
      <c r="D125" s="30"/>
      <c r="E125" s="30"/>
      <c r="F125" s="30"/>
      <c r="G125" s="30"/>
      <c r="H125" s="30"/>
      <c r="I125" s="30"/>
      <c r="J125" s="30"/>
      <c r="K125" s="30"/>
      <c r="L125" s="30"/>
      <c r="M125" s="30"/>
      <c r="N125" s="30"/>
      <c r="O125" s="30"/>
      <c r="P125" s="30"/>
      <c r="Q125" s="54" t="s">
        <v>231</v>
      </c>
      <c r="R125" s="52"/>
      <c r="S125" s="52">
        <f>'Conso P adjs'!E48</f>
        <v>980000</v>
      </c>
      <c r="U125" s="31"/>
    </row>
    <row r="126" spans="1:22" hidden="1" x14ac:dyDescent="0.2">
      <c r="B126" s="30"/>
      <c r="C126" s="30"/>
      <c r="D126" s="30"/>
      <c r="E126" s="30"/>
      <c r="F126" s="30"/>
      <c r="G126" s="30"/>
      <c r="H126" s="30"/>
      <c r="I126" s="30"/>
      <c r="J126" s="30"/>
      <c r="K126" s="30"/>
      <c r="L126" s="30"/>
      <c r="M126" s="30"/>
      <c r="N126" s="30"/>
      <c r="O126" s="30"/>
      <c r="P126" s="30"/>
      <c r="Q126" s="54" t="s">
        <v>232</v>
      </c>
      <c r="R126" s="52">
        <f>'Conso P adjs'!D52</f>
        <v>20411213</v>
      </c>
      <c r="S126" s="52"/>
      <c r="U126" s="31"/>
    </row>
    <row r="127" spans="1:22" hidden="1" x14ac:dyDescent="0.2">
      <c r="B127" s="30"/>
      <c r="C127" s="30"/>
      <c r="D127" s="30"/>
      <c r="E127" s="30"/>
      <c r="F127" s="30"/>
      <c r="G127" s="30"/>
      <c r="H127" s="30"/>
      <c r="I127" s="30"/>
      <c r="J127" s="30"/>
      <c r="K127" s="30"/>
      <c r="L127" s="30"/>
      <c r="M127" s="30"/>
      <c r="N127" s="30"/>
      <c r="O127" s="30"/>
      <c r="P127" s="30"/>
      <c r="Q127" s="54" t="s">
        <v>233</v>
      </c>
      <c r="R127" s="52">
        <f>'Conso P adjs'!D59</f>
        <v>36949445</v>
      </c>
      <c r="S127" s="52"/>
      <c r="U127" s="31"/>
    </row>
    <row r="128" spans="1:22" hidden="1" x14ac:dyDescent="0.2">
      <c r="B128" s="30"/>
      <c r="C128" s="30"/>
      <c r="D128" s="30"/>
      <c r="E128" s="30"/>
      <c r="F128" s="30"/>
      <c r="G128" s="30"/>
      <c r="H128" s="30"/>
      <c r="I128" s="30"/>
      <c r="J128" s="30"/>
      <c r="K128" s="30"/>
      <c r="L128" s="30"/>
      <c r="M128" s="30"/>
      <c r="N128" s="30"/>
      <c r="O128" s="30"/>
      <c r="P128" s="30"/>
      <c r="Q128" s="54" t="s">
        <v>234</v>
      </c>
      <c r="R128" s="52"/>
      <c r="S128" s="52">
        <f>'Conso P adjs'!E66</f>
        <v>11266833</v>
      </c>
      <c r="U128" s="31"/>
    </row>
    <row r="129" spans="2:21" hidden="1" x14ac:dyDescent="0.2">
      <c r="B129" s="30"/>
      <c r="C129" s="30"/>
      <c r="D129" s="30"/>
      <c r="E129" s="30"/>
      <c r="F129" s="30"/>
      <c r="G129" s="30"/>
      <c r="H129" s="30"/>
      <c r="I129" s="30"/>
      <c r="J129" s="30"/>
      <c r="K129" s="30"/>
      <c r="L129" s="30"/>
      <c r="M129" s="30"/>
      <c r="N129" s="30"/>
      <c r="O129" s="30"/>
      <c r="P129" s="30"/>
      <c r="Q129" s="54" t="s">
        <v>235</v>
      </c>
      <c r="R129" s="52">
        <f>'Conso P adjs'!D70</f>
        <v>653706</v>
      </c>
      <c r="S129" s="52"/>
      <c r="U129" s="31"/>
    </row>
    <row r="130" spans="2:21" hidden="1" x14ac:dyDescent="0.2">
      <c r="B130" s="30"/>
      <c r="C130" s="30"/>
      <c r="D130" s="30"/>
      <c r="E130" s="30"/>
      <c r="F130" s="30"/>
      <c r="G130" s="30"/>
      <c r="H130" s="30"/>
      <c r="I130" s="30"/>
      <c r="J130" s="30"/>
      <c r="K130" s="30"/>
      <c r="L130" s="30"/>
      <c r="M130" s="30"/>
      <c r="N130" s="30"/>
      <c r="O130" s="30"/>
      <c r="P130" s="30"/>
      <c r="Q130" s="54" t="s">
        <v>236</v>
      </c>
      <c r="R130" s="52">
        <f>'Conso P adjs'!D76</f>
        <v>5557</v>
      </c>
      <c r="S130" s="52"/>
      <c r="U130" s="31"/>
    </row>
    <row r="131" spans="2:21" hidden="1" x14ac:dyDescent="0.2">
      <c r="B131" s="30"/>
      <c r="C131" s="30"/>
      <c r="D131" s="30"/>
      <c r="E131" s="30"/>
      <c r="F131" s="30"/>
      <c r="G131" s="30"/>
      <c r="H131" s="30"/>
      <c r="I131" s="30"/>
      <c r="J131" s="30"/>
      <c r="K131" s="30"/>
      <c r="L131" s="30"/>
      <c r="M131" s="30"/>
      <c r="N131" s="30"/>
      <c r="O131" s="30"/>
      <c r="P131" s="30"/>
      <c r="Q131" s="54" t="s">
        <v>238</v>
      </c>
      <c r="R131" s="52">
        <f>'Conso P adjs'!D83</f>
        <v>5557</v>
      </c>
      <c r="S131" s="52"/>
      <c r="U131" s="31"/>
    </row>
    <row r="132" spans="2:21" hidden="1" x14ac:dyDescent="0.2">
      <c r="B132" s="30"/>
      <c r="C132" s="30"/>
      <c r="D132" s="30"/>
      <c r="E132" s="30"/>
      <c r="F132" s="30"/>
      <c r="G132" s="30"/>
      <c r="H132" s="30"/>
      <c r="I132" s="30"/>
      <c r="J132" s="30"/>
      <c r="K132" s="30"/>
      <c r="L132" s="30"/>
      <c r="M132" s="30"/>
      <c r="N132" s="30"/>
      <c r="O132" s="30"/>
      <c r="P132" s="30"/>
      <c r="Q132" s="54" t="s">
        <v>239</v>
      </c>
      <c r="R132" s="52">
        <f>'Conso P adjs'!D90</f>
        <v>21544</v>
      </c>
      <c r="S132" s="52"/>
      <c r="U132" s="31"/>
    </row>
    <row r="133" spans="2:21" hidden="1" x14ac:dyDescent="0.2">
      <c r="B133" s="30"/>
      <c r="C133" s="30"/>
      <c r="D133" s="30"/>
      <c r="E133" s="30"/>
      <c r="F133" s="30"/>
      <c r="G133" s="30"/>
      <c r="H133" s="30"/>
      <c r="I133" s="30"/>
      <c r="J133" s="30"/>
      <c r="K133" s="30"/>
      <c r="L133" s="30"/>
      <c r="M133" s="30"/>
      <c r="N133" s="30"/>
      <c r="O133" s="30"/>
      <c r="P133" s="30"/>
      <c r="Q133" s="54" t="s">
        <v>240</v>
      </c>
      <c r="R133" s="52"/>
      <c r="S133" s="52">
        <f>'Conso P adjs'!E97</f>
        <v>112289</v>
      </c>
      <c r="U133" s="31"/>
    </row>
    <row r="134" spans="2:21" hidden="1" x14ac:dyDescent="0.2">
      <c r="B134" s="30"/>
      <c r="C134" s="30"/>
      <c r="D134" s="30"/>
      <c r="E134" s="30"/>
      <c r="F134" s="30"/>
      <c r="G134" s="30"/>
      <c r="H134" s="30"/>
      <c r="I134" s="30"/>
      <c r="J134" s="30"/>
      <c r="K134" s="30"/>
      <c r="L134" s="30"/>
      <c r="M134" s="30"/>
      <c r="N134" s="30"/>
      <c r="O134" s="30"/>
      <c r="P134" s="30"/>
      <c r="Q134" s="54" t="s">
        <v>241</v>
      </c>
      <c r="R134" s="52">
        <f>'Conso P adjs'!D103</f>
        <v>5222900</v>
      </c>
      <c r="S134" s="52"/>
      <c r="U134" s="31"/>
    </row>
    <row r="135" spans="2:21" hidden="1" x14ac:dyDescent="0.2">
      <c r="B135" s="30"/>
      <c r="C135" s="30"/>
      <c r="D135" s="30"/>
      <c r="E135" s="30"/>
      <c r="F135" s="30"/>
      <c r="G135" s="30"/>
      <c r="H135" s="30"/>
      <c r="I135" s="30"/>
      <c r="J135" s="30"/>
      <c r="K135" s="30"/>
      <c r="L135" s="30"/>
      <c r="M135" s="30"/>
      <c r="N135" s="30"/>
      <c r="O135" s="30"/>
      <c r="P135" s="30"/>
      <c r="Q135" s="54" t="s">
        <v>242</v>
      </c>
      <c r="R135" s="52">
        <f>'Conso P adjs'!D109</f>
        <v>0</v>
      </c>
      <c r="S135" s="52"/>
      <c r="U135" s="31"/>
    </row>
    <row r="136" spans="2:21" hidden="1" x14ac:dyDescent="0.2">
      <c r="B136" s="30"/>
      <c r="C136" s="30"/>
      <c r="D136" s="30"/>
      <c r="E136" s="30"/>
      <c r="F136" s="30"/>
      <c r="G136" s="30"/>
      <c r="H136" s="30"/>
      <c r="I136" s="30"/>
      <c r="J136" s="30"/>
      <c r="K136" s="30"/>
      <c r="L136" s="30"/>
      <c r="M136" s="30"/>
      <c r="N136" s="30"/>
      <c r="O136" s="30"/>
      <c r="P136" s="30"/>
      <c r="Q136" s="54" t="s">
        <v>243</v>
      </c>
      <c r="R136" s="52">
        <f>'Conso P adjs'!D115</f>
        <v>457072</v>
      </c>
      <c r="S136" s="52"/>
      <c r="U136" s="31"/>
    </row>
    <row r="137" spans="2:21" hidden="1" x14ac:dyDescent="0.2">
      <c r="B137" s="30"/>
      <c r="C137" s="30"/>
      <c r="D137" s="30"/>
      <c r="E137" s="30"/>
      <c r="F137" s="30"/>
      <c r="G137" s="30"/>
      <c r="H137" s="30"/>
      <c r="I137" s="30"/>
      <c r="J137" s="30"/>
      <c r="K137" s="30"/>
      <c r="L137" s="30"/>
      <c r="M137" s="30"/>
      <c r="N137" s="30"/>
      <c r="O137" s="30"/>
      <c r="P137" s="30"/>
      <c r="Q137" s="54" t="s">
        <v>244</v>
      </c>
      <c r="R137" s="52">
        <f>'Conso P adjs'!D122</f>
        <v>42261</v>
      </c>
      <c r="S137" s="52"/>
      <c r="U137" s="31"/>
    </row>
    <row r="138" spans="2:21" hidden="1" x14ac:dyDescent="0.2">
      <c r="B138" s="30"/>
      <c r="C138" s="30"/>
      <c r="D138" s="30"/>
      <c r="E138" s="30"/>
      <c r="F138" s="30"/>
      <c r="G138" s="30"/>
      <c r="H138" s="30"/>
      <c r="I138" s="30"/>
      <c r="J138" s="30"/>
      <c r="K138" s="30"/>
      <c r="L138" s="30"/>
      <c r="M138" s="30"/>
      <c r="N138" s="30"/>
      <c r="O138" s="30"/>
      <c r="P138" s="30"/>
      <c r="Q138" s="54" t="s">
        <v>245</v>
      </c>
      <c r="R138" s="52">
        <f>'Conso P adjs'!D129</f>
        <v>1207965</v>
      </c>
      <c r="S138" s="52"/>
      <c r="U138" s="31"/>
    </row>
    <row r="139" spans="2:21" hidden="1" x14ac:dyDescent="0.2">
      <c r="B139" s="30"/>
      <c r="C139" s="30"/>
      <c r="D139" s="30"/>
      <c r="E139" s="30"/>
      <c r="F139" s="30"/>
      <c r="G139" s="30"/>
      <c r="H139" s="30"/>
      <c r="I139" s="30"/>
      <c r="J139" s="30"/>
      <c r="K139" s="30"/>
      <c r="L139" s="30"/>
      <c r="M139" s="30"/>
      <c r="N139" s="30"/>
      <c r="O139" s="30"/>
      <c r="P139" s="30"/>
      <c r="Q139" s="54" t="s">
        <v>246</v>
      </c>
      <c r="R139" s="52"/>
      <c r="S139" s="52">
        <f>'Conso P adjs'!E136</f>
        <v>499333</v>
      </c>
      <c r="U139" s="31"/>
    </row>
    <row r="140" spans="2:21" hidden="1" x14ac:dyDescent="0.2">
      <c r="Q140" s="54" t="s">
        <v>247</v>
      </c>
      <c r="R140" s="52">
        <f>'Conso P adjs'!D140</f>
        <v>576866</v>
      </c>
      <c r="S140" s="52"/>
      <c r="U140" s="31"/>
    </row>
    <row r="141" spans="2:21" hidden="1" x14ac:dyDescent="0.2">
      <c r="Q141" s="54" t="s">
        <v>248</v>
      </c>
      <c r="R141" s="52"/>
      <c r="S141" s="52">
        <f>'Conso P adjs'!E146</f>
        <v>548760</v>
      </c>
      <c r="U141" s="31"/>
    </row>
    <row r="142" spans="2:21" hidden="1" x14ac:dyDescent="0.2">
      <c r="Q142" s="54" t="s">
        <v>249</v>
      </c>
      <c r="R142" s="52"/>
      <c r="S142" s="52">
        <f>'Conso P adjs'!E151</f>
        <v>100549682</v>
      </c>
      <c r="U142" s="31"/>
    </row>
    <row r="143" spans="2:21" hidden="1" x14ac:dyDescent="0.2">
      <c r="Q143" s="54" t="s">
        <v>250</v>
      </c>
      <c r="R143" s="52">
        <f>'Conso P adjs'!D155</f>
        <v>32907660</v>
      </c>
      <c r="S143" s="52"/>
      <c r="U143" s="31"/>
    </row>
    <row r="144" spans="2:21" hidden="1" x14ac:dyDescent="0.2">
      <c r="Q144" s="54" t="s">
        <v>251</v>
      </c>
      <c r="R144" s="52">
        <f>'Conso P adjs'!D160</f>
        <v>30000000</v>
      </c>
      <c r="S144" s="52"/>
      <c r="U144" s="31"/>
    </row>
    <row r="145" spans="1:22" hidden="1" x14ac:dyDescent="0.2">
      <c r="Q145" s="54" t="s">
        <v>252</v>
      </c>
      <c r="R145" s="52"/>
      <c r="S145" s="52">
        <f>'Conso P adjs'!E166</f>
        <v>9355788</v>
      </c>
      <c r="U145" s="31"/>
    </row>
    <row r="146" spans="1:22" hidden="1" x14ac:dyDescent="0.2">
      <c r="Q146" s="54" t="s">
        <v>253</v>
      </c>
      <c r="R146" s="52"/>
      <c r="S146" s="52">
        <f>'Conso P adjs'!E171</f>
        <v>8550000</v>
      </c>
      <c r="U146" s="31"/>
    </row>
    <row r="147" spans="1:22" hidden="1" x14ac:dyDescent="0.2">
      <c r="Q147" s="54" t="s">
        <v>254</v>
      </c>
      <c r="R147" s="52">
        <f>'Conso P adjs'!D175</f>
        <v>1724364</v>
      </c>
      <c r="S147" s="52"/>
      <c r="U147" s="31"/>
    </row>
    <row r="148" spans="1:22" hidden="1" x14ac:dyDescent="0.2">
      <c r="Q148" s="54" t="s">
        <v>256</v>
      </c>
      <c r="R148" s="52"/>
      <c r="S148" s="52">
        <f>'Conso P adjs'!E191</f>
        <v>2089679</v>
      </c>
      <c r="U148" s="31"/>
    </row>
    <row r="149" spans="1:22" hidden="1" x14ac:dyDescent="0.2">
      <c r="Q149" s="54" t="s">
        <v>257</v>
      </c>
      <c r="R149" s="52"/>
      <c r="S149" s="52">
        <f>'Conso P adjs'!E196</f>
        <v>25162</v>
      </c>
      <c r="U149" s="31"/>
    </row>
    <row r="150" spans="1:22" hidden="1" x14ac:dyDescent="0.2">
      <c r="Q150" s="54" t="s">
        <v>258</v>
      </c>
      <c r="R150" s="52"/>
      <c r="S150" s="52">
        <f>'Conso P adjs'!E201</f>
        <v>6036899</v>
      </c>
      <c r="U150" s="31"/>
    </row>
    <row r="151" spans="1:22" hidden="1" x14ac:dyDescent="0.2">
      <c r="Q151" s="54" t="s">
        <v>277</v>
      </c>
      <c r="R151" s="52"/>
      <c r="S151" s="52">
        <f>'Conso P adjs'!E239</f>
        <v>5500437</v>
      </c>
      <c r="U151" s="31"/>
    </row>
    <row r="152" spans="1:22" hidden="1" x14ac:dyDescent="0.2">
      <c r="Q152" s="54" t="s">
        <v>456</v>
      </c>
      <c r="R152" s="52"/>
      <c r="S152" s="52">
        <f>'Conso P adjs'!E248</f>
        <v>488997</v>
      </c>
      <c r="U152" s="31"/>
    </row>
    <row r="153" spans="1:22" hidden="1" x14ac:dyDescent="0.2">
      <c r="Q153" s="54" t="s">
        <v>456</v>
      </c>
      <c r="R153" s="52"/>
      <c r="S153" s="52">
        <f>'Conso P adjs'!E249</f>
        <v>135116</v>
      </c>
      <c r="U153" s="31"/>
    </row>
    <row r="154" spans="1:22" hidden="1" x14ac:dyDescent="0.2">
      <c r="Q154" s="54" t="s">
        <v>457</v>
      </c>
      <c r="R154" s="52"/>
      <c r="S154" s="52">
        <f>'Conso P adjs'!E256</f>
        <v>205278</v>
      </c>
      <c r="U154" s="31"/>
    </row>
    <row r="155" spans="1:22" hidden="1" x14ac:dyDescent="0.2">
      <c r="Q155" s="54" t="s">
        <v>458</v>
      </c>
      <c r="R155" s="52">
        <f>'Conso P adjs'!D260</f>
        <v>436809</v>
      </c>
      <c r="S155" s="52"/>
      <c r="U155" s="31"/>
    </row>
    <row r="156" spans="1:22" hidden="1" x14ac:dyDescent="0.2">
      <c r="Q156" s="54" t="s">
        <v>460</v>
      </c>
      <c r="R156" s="52"/>
      <c r="S156" s="52">
        <f>'Conso P adjs'!E266</f>
        <v>5758557</v>
      </c>
      <c r="U156" s="31"/>
    </row>
    <row r="157" spans="1:22" x14ac:dyDescent="0.2">
      <c r="B157" s="31">
        <f>'C-IS'!B44</f>
        <v>-438666</v>
      </c>
      <c r="C157" s="31">
        <f>'C-IS'!C44</f>
        <v>-472799</v>
      </c>
      <c r="D157" s="31">
        <f>'C-IS'!D44</f>
        <v>12237</v>
      </c>
      <c r="E157" s="31">
        <f>'C-IS'!E44</f>
        <v>0</v>
      </c>
      <c r="F157" s="31">
        <f>'C-IS'!F44</f>
        <v>-8944</v>
      </c>
      <c r="G157" s="31">
        <f>'C-IS'!G44</f>
        <v>364853</v>
      </c>
      <c r="H157" s="31">
        <f>'C-IS'!H44</f>
        <v>-1171325</v>
      </c>
      <c r="I157" s="31">
        <f>'C-IS'!I44</f>
        <v>0</v>
      </c>
      <c r="J157" s="31">
        <f>'C-IS'!J44</f>
        <v>-53</v>
      </c>
      <c r="K157" s="31">
        <f>'C-IS'!K44</f>
        <v>-1674</v>
      </c>
      <c r="L157" s="31">
        <f>'C-IS'!L44</f>
        <v>-1400</v>
      </c>
      <c r="M157" s="31">
        <f>'C-IS'!M44</f>
        <v>-281264</v>
      </c>
      <c r="N157" s="31">
        <f>'C-IS'!N44</f>
        <v>-1400</v>
      </c>
      <c r="O157" s="31">
        <f>'C-IS'!O44</f>
        <v>0</v>
      </c>
      <c r="P157" s="31">
        <f>SUM(B157:O157)</f>
        <v>-2000435</v>
      </c>
      <c r="Q157" s="118"/>
      <c r="R157" s="52">
        <f>'C-IS'!R44</f>
        <v>0</v>
      </c>
      <c r="S157" s="52">
        <f>'C-IS'!S44</f>
        <v>0</v>
      </c>
      <c r="T157" s="31">
        <f>P157-R157+S157-R158+S158-R159+S159</f>
        <v>-2000435</v>
      </c>
      <c r="V157" s="100">
        <v>-10115</v>
      </c>
    </row>
    <row r="158" spans="1:22" hidden="1" x14ac:dyDescent="0.2">
      <c r="Q158" s="54" t="s">
        <v>475</v>
      </c>
      <c r="R158" s="52"/>
      <c r="S158" s="52">
        <f>'Conso C adjs'!G144</f>
        <v>0</v>
      </c>
    </row>
    <row r="159" spans="1:22" hidden="1" x14ac:dyDescent="0.2">
      <c r="Q159" s="118"/>
      <c r="R159" s="109"/>
      <c r="S159" s="109"/>
    </row>
    <row r="160" spans="1:22" x14ac:dyDescent="0.2">
      <c r="A160" s="64" t="s">
        <v>361</v>
      </c>
      <c r="B160" s="31">
        <v>0</v>
      </c>
      <c r="C160" s="31">
        <v>0</v>
      </c>
      <c r="D160" s="31">
        <v>0</v>
      </c>
      <c r="E160" s="31">
        <v>0</v>
      </c>
      <c r="F160" s="31">
        <v>0</v>
      </c>
      <c r="G160" s="31">
        <v>0</v>
      </c>
      <c r="H160" s="31">
        <v>0</v>
      </c>
      <c r="I160" s="31">
        <v>0</v>
      </c>
      <c r="J160" s="31">
        <v>0</v>
      </c>
      <c r="K160" s="31">
        <v>0</v>
      </c>
      <c r="L160" s="31">
        <v>0</v>
      </c>
      <c r="M160" s="31">
        <v>0</v>
      </c>
      <c r="N160" s="31">
        <v>0</v>
      </c>
      <c r="O160" s="31">
        <v>0</v>
      </c>
      <c r="P160" s="31">
        <f>SUM(B160:O160)</f>
        <v>0</v>
      </c>
      <c r="Q160" s="54" t="s">
        <v>456</v>
      </c>
      <c r="R160" s="52">
        <f>'Conso P adjs'!D247</f>
        <v>187204</v>
      </c>
      <c r="S160" s="52"/>
      <c r="T160" s="31">
        <f>P160-R160-R162+S162+S160-R161+S161-R163+S163-R164+S164</f>
        <v>14041803</v>
      </c>
      <c r="V160" s="75">
        <v>14273</v>
      </c>
    </row>
    <row r="161" spans="1:22" hidden="1" x14ac:dyDescent="0.2">
      <c r="A161" s="64"/>
      <c r="Q161" s="54" t="s">
        <v>457</v>
      </c>
      <c r="R161" s="52">
        <f>'Conso P adjs'!D255</f>
        <v>205278</v>
      </c>
      <c r="S161" s="52"/>
      <c r="V161" s="75"/>
    </row>
    <row r="162" spans="1:22" hidden="1" x14ac:dyDescent="0.2">
      <c r="A162" s="64"/>
      <c r="Q162" s="54" t="s">
        <v>462</v>
      </c>
      <c r="R162" s="52"/>
      <c r="S162" s="52">
        <f>'Conso P adjs'!E271</f>
        <v>14434285</v>
      </c>
    </row>
    <row r="163" spans="1:22" hidden="1" x14ac:dyDescent="0.2">
      <c r="A163" s="64"/>
      <c r="Q163" s="54" t="s">
        <v>475</v>
      </c>
      <c r="R163" s="52">
        <f>'Conso C adjs'!F143</f>
        <v>0</v>
      </c>
      <c r="S163" s="52"/>
    </row>
    <row r="164" spans="1:22" hidden="1" x14ac:dyDescent="0.2">
      <c r="A164" s="64"/>
      <c r="Q164" s="54" t="s">
        <v>486</v>
      </c>
      <c r="R164" s="52"/>
      <c r="S164" s="52">
        <f>'Conso C adjs'!G176</f>
        <v>0</v>
      </c>
    </row>
    <row r="165" spans="1:22" x14ac:dyDescent="0.2">
      <c r="A165" s="38" t="s">
        <v>41</v>
      </c>
      <c r="B165" s="35">
        <f t="shared" ref="B165:P165" si="5">SUM(B94:B163)</f>
        <v>156379241</v>
      </c>
      <c r="C165" s="35">
        <f t="shared" si="5"/>
        <v>218826</v>
      </c>
      <c r="D165" s="35">
        <f t="shared" si="5"/>
        <v>2261963</v>
      </c>
      <c r="E165" s="35">
        <f t="shared" si="5"/>
        <v>122709</v>
      </c>
      <c r="F165" s="35">
        <f t="shared" si="5"/>
        <v>112616502</v>
      </c>
      <c r="G165" s="35">
        <f t="shared" si="5"/>
        <v>-5953687</v>
      </c>
      <c r="H165" s="35">
        <f t="shared" si="5"/>
        <v>971671</v>
      </c>
      <c r="I165" s="35">
        <f t="shared" si="5"/>
        <v>-46683</v>
      </c>
      <c r="J165" s="35">
        <f t="shared" si="5"/>
        <v>-386373</v>
      </c>
      <c r="K165" s="35">
        <f t="shared" si="5"/>
        <v>81909</v>
      </c>
      <c r="L165" s="35">
        <f t="shared" si="5"/>
        <v>-14804</v>
      </c>
      <c r="M165" s="35">
        <f t="shared" si="5"/>
        <v>557804</v>
      </c>
      <c r="N165" s="35">
        <f t="shared" si="5"/>
        <v>-10592</v>
      </c>
      <c r="O165" s="35">
        <f t="shared" si="5"/>
        <v>-9104</v>
      </c>
      <c r="P165" s="35">
        <f t="shared" si="5"/>
        <v>266789382</v>
      </c>
      <c r="Q165" s="118"/>
      <c r="R165" s="109"/>
      <c r="S165" s="109"/>
      <c r="T165" s="35">
        <f>SUM(T94:T163)</f>
        <v>168721638</v>
      </c>
      <c r="V165" s="35">
        <f>SUM(V94:V163)</f>
        <v>160792</v>
      </c>
    </row>
    <row r="166" spans="1:22" x14ac:dyDescent="0.2">
      <c r="A166" s="38"/>
      <c r="Q166" s="118"/>
      <c r="R166" s="109"/>
      <c r="S166" s="109"/>
    </row>
    <row r="167" spans="1:22" x14ac:dyDescent="0.2">
      <c r="A167" s="38" t="s">
        <v>23</v>
      </c>
      <c r="Q167" s="118"/>
      <c r="R167" s="109"/>
      <c r="S167" s="109"/>
    </row>
    <row r="168" spans="1:22" x14ac:dyDescent="0.2">
      <c r="A168" s="34" t="s">
        <v>18</v>
      </c>
      <c r="B168" s="31">
        <f>187814-B188</f>
        <v>103875</v>
      </c>
      <c r="C168" s="31">
        <f>94470+38231+38231+13357728</f>
        <v>13528660</v>
      </c>
      <c r="D168" s="31">
        <v>0</v>
      </c>
      <c r="E168" s="31">
        <v>0</v>
      </c>
      <c r="F168" s="31">
        <v>0</v>
      </c>
      <c r="G168" s="31">
        <v>84566</v>
      </c>
      <c r="H168" s="31">
        <v>0</v>
      </c>
      <c r="I168" s="31">
        <v>0</v>
      </c>
      <c r="J168" s="31">
        <v>0</v>
      </c>
      <c r="K168" s="31">
        <v>0</v>
      </c>
      <c r="L168" s="31">
        <v>0</v>
      </c>
      <c r="M168" s="31">
        <v>0</v>
      </c>
      <c r="N168" s="31">
        <v>0</v>
      </c>
      <c r="O168" s="31">
        <v>0</v>
      </c>
      <c r="P168" s="31">
        <f>SUM(B168:O168)</f>
        <v>13717101</v>
      </c>
      <c r="Q168" s="118"/>
      <c r="R168" s="109"/>
      <c r="S168" s="109"/>
      <c r="T168" s="31">
        <f>P168-R168+S168</f>
        <v>13717101</v>
      </c>
      <c r="V168" s="31">
        <v>13717</v>
      </c>
    </row>
    <row r="169" spans="1:22" x14ac:dyDescent="0.2">
      <c r="A169" s="34" t="s">
        <v>22</v>
      </c>
      <c r="B169" s="31">
        <v>10714</v>
      </c>
      <c r="C169" s="31">
        <v>0</v>
      </c>
      <c r="D169" s="31">
        <v>0</v>
      </c>
      <c r="E169" s="31">
        <v>0</v>
      </c>
      <c r="F169" s="31">
        <v>30177</v>
      </c>
      <c r="G169" s="31">
        <v>0</v>
      </c>
      <c r="H169" s="31">
        <v>0</v>
      </c>
      <c r="I169" s="31">
        <v>0</v>
      </c>
      <c r="J169" s="31">
        <v>0</v>
      </c>
      <c r="K169" s="31">
        <v>0</v>
      </c>
      <c r="L169" s="31">
        <v>0</v>
      </c>
      <c r="M169" s="31">
        <v>0</v>
      </c>
      <c r="N169" s="31">
        <v>0</v>
      </c>
      <c r="O169" s="31">
        <v>0</v>
      </c>
      <c r="P169" s="31">
        <f>SUM(B169:O169)</f>
        <v>40891</v>
      </c>
      <c r="Q169" s="54" t="s">
        <v>227</v>
      </c>
      <c r="R169" s="52"/>
      <c r="S169" s="52">
        <f>'Conso P adjs'!E22</f>
        <v>47320000</v>
      </c>
      <c r="T169" s="31">
        <f>P169-R169-R170-R171-R172-R173-R174-R175-R176-R177-R178-R179+S179+S178+S177+S176+S175+S174+S169+S170+S171+S172+S173+U169</f>
        <v>1397132</v>
      </c>
      <c r="U169" s="30">
        <v>2</v>
      </c>
      <c r="V169" s="31">
        <v>1397</v>
      </c>
    </row>
    <row r="170" spans="1:22" hidden="1" x14ac:dyDescent="0.2">
      <c r="A170" s="34"/>
      <c r="Q170" s="54" t="s">
        <v>229</v>
      </c>
      <c r="R170" s="52">
        <f>'Conso P adjs'!D37</f>
        <v>4976278</v>
      </c>
      <c r="S170" s="52"/>
    </row>
    <row r="171" spans="1:22" hidden="1" x14ac:dyDescent="0.2">
      <c r="A171" s="34"/>
      <c r="Q171" s="54" t="s">
        <v>231</v>
      </c>
      <c r="R171" s="52">
        <f>'Conso P adjs'!D47</f>
        <v>980000</v>
      </c>
      <c r="S171" s="52"/>
    </row>
    <row r="172" spans="1:22" hidden="1" x14ac:dyDescent="0.2">
      <c r="A172" s="34"/>
      <c r="Q172" s="54" t="s">
        <v>232</v>
      </c>
      <c r="R172" s="52">
        <f>'Conso P adjs'!D54</f>
        <v>9119849</v>
      </c>
      <c r="S172" s="52"/>
    </row>
    <row r="173" spans="1:22" hidden="1" x14ac:dyDescent="0.2">
      <c r="A173" s="34"/>
      <c r="Q173" s="54" t="s">
        <v>233</v>
      </c>
      <c r="R173" s="52">
        <f>'Conso P adjs'!D60</f>
        <v>15258805</v>
      </c>
      <c r="S173" s="52"/>
    </row>
    <row r="174" spans="1:22" hidden="1" x14ac:dyDescent="0.2">
      <c r="A174" s="34"/>
      <c r="Q174" s="54" t="s">
        <v>240</v>
      </c>
      <c r="R174" s="52"/>
      <c r="S174" s="52">
        <f>'Conso P adjs'!E98</f>
        <v>920720</v>
      </c>
    </row>
    <row r="175" spans="1:22" hidden="1" x14ac:dyDescent="0.2">
      <c r="A175" s="34"/>
      <c r="Q175" s="54" t="s">
        <v>245</v>
      </c>
      <c r="R175" s="52"/>
      <c r="S175" s="52">
        <f>'Conso P adjs'!E130</f>
        <v>529448</v>
      </c>
    </row>
    <row r="176" spans="1:22" hidden="1" x14ac:dyDescent="0.2">
      <c r="A176" s="34"/>
      <c r="Q176" s="54" t="s">
        <v>245</v>
      </c>
      <c r="R176" s="52"/>
      <c r="S176" s="52">
        <f>'Conso P adjs'!E131</f>
        <v>826791</v>
      </c>
    </row>
    <row r="177" spans="1:24" hidden="1" x14ac:dyDescent="0.2">
      <c r="A177" s="34"/>
      <c r="Q177" s="54" t="s">
        <v>252</v>
      </c>
      <c r="R177" s="52">
        <f>'Conso P adjs'!D165</f>
        <v>9355788</v>
      </c>
      <c r="S177" s="52"/>
    </row>
    <row r="178" spans="1:24" hidden="1" x14ac:dyDescent="0.2">
      <c r="A178" s="34"/>
      <c r="Q178" s="54" t="s">
        <v>253</v>
      </c>
      <c r="R178" s="52">
        <f>'Conso P adjs'!D170</f>
        <v>8550000</v>
      </c>
      <c r="S178" s="52"/>
    </row>
    <row r="179" spans="1:24" hidden="1" x14ac:dyDescent="0.2">
      <c r="A179" s="34"/>
      <c r="Q179" s="118"/>
      <c r="R179" s="109">
        <f>'Conso C adjs'!F165</f>
        <v>0</v>
      </c>
      <c r="S179" s="109"/>
    </row>
    <row r="180" spans="1:24" outlineLevel="1" x14ac:dyDescent="0.2">
      <c r="A180" s="34" t="s">
        <v>21</v>
      </c>
      <c r="B180" s="31">
        <v>0</v>
      </c>
      <c r="C180" s="31">
        <v>0</v>
      </c>
      <c r="D180" s="31">
        <v>0</v>
      </c>
      <c r="E180" s="31">
        <v>0</v>
      </c>
      <c r="F180" s="31">
        <v>0</v>
      </c>
      <c r="G180" s="31">
        <v>0</v>
      </c>
      <c r="H180" s="31">
        <v>0</v>
      </c>
      <c r="I180" s="31">
        <v>0</v>
      </c>
      <c r="J180" s="31">
        <v>0</v>
      </c>
      <c r="K180" s="31">
        <v>0</v>
      </c>
      <c r="L180" s="31">
        <v>0</v>
      </c>
      <c r="M180" s="31">
        <v>0</v>
      </c>
      <c r="N180" s="31">
        <v>0</v>
      </c>
      <c r="O180" s="31">
        <v>0</v>
      </c>
      <c r="P180" s="31">
        <f>SUM(B180:O180)</f>
        <v>0</v>
      </c>
      <c r="Q180" s="54" t="s">
        <v>227</v>
      </c>
      <c r="R180" s="52"/>
      <c r="S180" s="52">
        <f>'Conso P adjs'!E21</f>
        <v>16026364</v>
      </c>
      <c r="T180" s="31">
        <f>P180-R180-R181-R182-R183+S183+S182+S181+S180</f>
        <v>0</v>
      </c>
      <c r="V180" s="31">
        <v>0</v>
      </c>
    </row>
    <row r="181" spans="1:24" hidden="1" outlineLevel="1" x14ac:dyDescent="0.2">
      <c r="A181" s="34"/>
      <c r="Q181" s="54" t="s">
        <v>229</v>
      </c>
      <c r="R181" s="52">
        <f>'Conso P adjs'!D36</f>
        <v>1694052</v>
      </c>
      <c r="S181" s="52"/>
    </row>
    <row r="182" spans="1:24" hidden="1" outlineLevel="1" x14ac:dyDescent="0.2">
      <c r="A182" s="34"/>
      <c r="Q182" s="54" t="s">
        <v>232</v>
      </c>
      <c r="R182" s="52">
        <f>'Conso P adjs'!D53</f>
        <v>3065479</v>
      </c>
      <c r="S182" s="52"/>
    </row>
    <row r="183" spans="1:24" hidden="1" outlineLevel="1" x14ac:dyDescent="0.2">
      <c r="A183" s="34"/>
      <c r="Q183" s="54" t="s">
        <v>234</v>
      </c>
      <c r="R183" s="52">
        <f>'Conso P adjs'!D65</f>
        <v>11266833</v>
      </c>
      <c r="S183" s="52"/>
    </row>
    <row r="184" spans="1:24" hidden="1" outlineLevel="1" x14ac:dyDescent="0.2">
      <c r="A184" s="34"/>
      <c r="Q184" s="118"/>
      <c r="R184" s="109"/>
      <c r="S184" s="109"/>
    </row>
    <row r="185" spans="1:24" x14ac:dyDescent="0.2">
      <c r="B185" s="35">
        <f>SUM(B168:B184)</f>
        <v>114589</v>
      </c>
      <c r="C185" s="35">
        <f>SUM(C168:C184)</f>
        <v>13528660</v>
      </c>
      <c r="D185" s="35">
        <f t="shared" ref="D185:P185" si="6">SUM(D168:D184)</f>
        <v>0</v>
      </c>
      <c r="E185" s="35">
        <f t="shared" si="6"/>
        <v>0</v>
      </c>
      <c r="F185" s="35">
        <f t="shared" si="6"/>
        <v>30177</v>
      </c>
      <c r="G185" s="35">
        <f t="shared" si="6"/>
        <v>84566</v>
      </c>
      <c r="H185" s="35">
        <f t="shared" si="6"/>
        <v>0</v>
      </c>
      <c r="I185" s="35">
        <f t="shared" si="6"/>
        <v>0</v>
      </c>
      <c r="J185" s="35">
        <f t="shared" si="6"/>
        <v>0</v>
      </c>
      <c r="K185" s="35">
        <f t="shared" si="6"/>
        <v>0</v>
      </c>
      <c r="L185" s="35">
        <f t="shared" si="6"/>
        <v>0</v>
      </c>
      <c r="M185" s="35">
        <f t="shared" si="6"/>
        <v>0</v>
      </c>
      <c r="N185" s="35">
        <f t="shared" si="6"/>
        <v>0</v>
      </c>
      <c r="O185" s="35">
        <f t="shared" si="6"/>
        <v>0</v>
      </c>
      <c r="P185" s="35">
        <f t="shared" si="6"/>
        <v>13757992</v>
      </c>
      <c r="Q185" s="118"/>
      <c r="R185" s="109"/>
      <c r="S185" s="109"/>
      <c r="T185" s="35">
        <f>SUM(T168:T180)</f>
        <v>15114233</v>
      </c>
      <c r="V185" s="35">
        <f>SUM(V168:V180)</f>
        <v>15114</v>
      </c>
      <c r="X185" s="51"/>
    </row>
    <row r="186" spans="1:24" x14ac:dyDescent="0.2">
      <c r="Q186" s="118"/>
      <c r="R186" s="109"/>
      <c r="S186" s="109"/>
    </row>
    <row r="187" spans="1:24" x14ac:dyDescent="0.2">
      <c r="A187" s="33" t="s">
        <v>43</v>
      </c>
      <c r="Q187" s="118"/>
      <c r="R187" s="109"/>
      <c r="S187" s="109"/>
    </row>
    <row r="188" spans="1:24" x14ac:dyDescent="0.2">
      <c r="A188" s="30" t="s">
        <v>18</v>
      </c>
      <c r="B188" s="31">
        <f>0+83939</f>
        <v>83939</v>
      </c>
      <c r="C188" s="31">
        <f>1993256+83004+22665+22665</f>
        <v>2121590</v>
      </c>
      <c r="D188" s="31">
        <v>0</v>
      </c>
      <c r="E188" s="31">
        <v>0</v>
      </c>
      <c r="F188" s="31">
        <v>0</v>
      </c>
      <c r="G188" s="31">
        <f>3559597+73795</f>
        <v>3633392</v>
      </c>
      <c r="H188" s="31">
        <f>14198481+3593159</f>
        <v>17791640</v>
      </c>
      <c r="I188" s="31">
        <v>0</v>
      </c>
      <c r="J188" s="31">
        <v>0</v>
      </c>
      <c r="K188" s="31">
        <v>0</v>
      </c>
      <c r="L188" s="31">
        <v>0</v>
      </c>
      <c r="M188" s="31">
        <v>0</v>
      </c>
      <c r="N188" s="31">
        <v>0</v>
      </c>
      <c r="O188" s="31">
        <v>0</v>
      </c>
      <c r="P188" s="31">
        <f>SUM(B188:O188)</f>
        <v>23630561</v>
      </c>
      <c r="Q188" s="118"/>
      <c r="R188" s="109"/>
      <c r="S188" s="109"/>
      <c r="T188" s="31">
        <f>P188-R188+S188</f>
        <v>23630561</v>
      </c>
      <c r="V188" s="31">
        <v>23631</v>
      </c>
    </row>
    <row r="189" spans="1:24" x14ac:dyDescent="0.2">
      <c r="A189" s="30" t="s">
        <v>12</v>
      </c>
      <c r="B189" s="31">
        <v>0</v>
      </c>
      <c r="C189" s="31">
        <f>9155953</f>
        <v>9155953</v>
      </c>
      <c r="D189" s="31">
        <v>0</v>
      </c>
      <c r="E189" s="31">
        <v>0</v>
      </c>
      <c r="F189" s="31">
        <v>194034</v>
      </c>
      <c r="G189" s="31">
        <v>0</v>
      </c>
      <c r="H189" s="31">
        <f>57820167</f>
        <v>57820167</v>
      </c>
      <c r="I189" s="31">
        <v>0</v>
      </c>
      <c r="J189" s="31">
        <v>110547</v>
      </c>
      <c r="K189" s="31">
        <v>0</v>
      </c>
      <c r="L189" s="31">
        <v>0</v>
      </c>
      <c r="M189" s="31">
        <v>1235552</v>
      </c>
      <c r="N189" s="31">
        <v>0</v>
      </c>
      <c r="O189" s="31">
        <v>0</v>
      </c>
      <c r="P189" s="31">
        <f>SUM(B189:O189)</f>
        <v>68516253</v>
      </c>
      <c r="Q189" s="118"/>
      <c r="R189" s="109"/>
      <c r="S189" s="109"/>
      <c r="T189" s="31">
        <f>P189-R189+S189+U189</f>
        <v>68516253</v>
      </c>
      <c r="V189" s="97">
        <v>68516</v>
      </c>
    </row>
    <row r="190" spans="1:24" x14ac:dyDescent="0.2">
      <c r="A190" s="30" t="s">
        <v>13</v>
      </c>
      <c r="B190" s="31">
        <f>1060206</f>
        <v>1060206</v>
      </c>
      <c r="C190" s="31">
        <f>38121+1</f>
        <v>38122</v>
      </c>
      <c r="D190" s="31">
        <f>1530550+11692+602569+140-2218</f>
        <v>2142733</v>
      </c>
      <c r="E190" s="31">
        <f>4000</f>
        <v>4000</v>
      </c>
      <c r="F190" s="31">
        <v>90220</v>
      </c>
      <c r="G190" s="31">
        <f>316926+259210+619330</f>
        <v>1195466</v>
      </c>
      <c r="H190" s="31">
        <f>2254765+6847643-1</f>
        <v>9102407</v>
      </c>
      <c r="I190" s="31">
        <v>3710</v>
      </c>
      <c r="J190" s="31">
        <f>4578+80350+1</f>
        <v>84929</v>
      </c>
      <c r="K190" s="31">
        <f>68800+4000</f>
        <v>72800</v>
      </c>
      <c r="L190" s="31">
        <v>1500</v>
      </c>
      <c r="M190" s="31">
        <f>35798+84925+1</f>
        <v>120724</v>
      </c>
      <c r="N190" s="31">
        <v>1500</v>
      </c>
      <c r="O190" s="31">
        <v>1590</v>
      </c>
      <c r="P190" s="31">
        <f>SUM(B190:O190)</f>
        <v>13919907</v>
      </c>
      <c r="Q190" s="118" t="s">
        <v>274</v>
      </c>
      <c r="R190" s="109"/>
      <c r="S190" s="109">
        <f>'Conso P adjs'!E221</f>
        <v>0</v>
      </c>
      <c r="T190" s="31">
        <f>P190-R190-R191-R192-R193-R194-R195-R196+S196+S195+S194+S193+S192+S191+S190</f>
        <v>13919907</v>
      </c>
      <c r="V190" s="97">
        <v>13920</v>
      </c>
    </row>
    <row r="191" spans="1:24" hidden="1" x14ac:dyDescent="0.2">
      <c r="Q191" s="118" t="s">
        <v>275</v>
      </c>
      <c r="R191" s="109"/>
      <c r="S191" s="109">
        <f>'Conso P adjs'!E229</f>
        <v>0</v>
      </c>
    </row>
    <row r="192" spans="1:24" hidden="1" x14ac:dyDescent="0.2">
      <c r="Q192" s="118"/>
      <c r="R192" s="109"/>
      <c r="S192" s="109"/>
    </row>
    <row r="193" spans="1:22" hidden="1" x14ac:dyDescent="0.2">
      <c r="Q193" s="118"/>
      <c r="R193" s="109"/>
      <c r="S193" s="109"/>
    </row>
    <row r="194" spans="1:22" hidden="1" x14ac:dyDescent="0.2">
      <c r="Q194" s="118"/>
      <c r="R194" s="109"/>
      <c r="S194" s="109"/>
    </row>
    <row r="195" spans="1:22" hidden="1" x14ac:dyDescent="0.2">
      <c r="Q195" s="118"/>
      <c r="R195" s="109"/>
      <c r="S195" s="109"/>
    </row>
    <row r="196" spans="1:22" hidden="1" x14ac:dyDescent="0.2">
      <c r="Q196" s="118"/>
      <c r="R196" s="109"/>
      <c r="S196" s="109"/>
    </row>
    <row r="197" spans="1:22" x14ac:dyDescent="0.2">
      <c r="A197" s="30" t="s">
        <v>20</v>
      </c>
      <c r="B197" s="31">
        <v>0</v>
      </c>
      <c r="C197" s="31">
        <v>0</v>
      </c>
      <c r="D197" s="31">
        <v>0</v>
      </c>
      <c r="E197" s="31">
        <v>41176</v>
      </c>
      <c r="F197" s="31">
        <v>0</v>
      </c>
      <c r="G197" s="31">
        <v>0</v>
      </c>
      <c r="H197" s="31">
        <v>0</v>
      </c>
      <c r="I197" s="31">
        <v>0</v>
      </c>
      <c r="J197" s="31">
        <v>0</v>
      </c>
      <c r="K197" s="31">
        <v>0</v>
      </c>
      <c r="L197" s="31">
        <v>0</v>
      </c>
      <c r="M197" s="31">
        <v>0</v>
      </c>
      <c r="N197" s="31">
        <v>0</v>
      </c>
      <c r="O197" s="31">
        <v>0</v>
      </c>
      <c r="P197" s="31">
        <f>SUM(B197:O197)</f>
        <v>41176</v>
      </c>
      <c r="Q197" s="54" t="s">
        <v>476</v>
      </c>
      <c r="R197" s="52">
        <f>'Conso C adjs'!F101</f>
        <v>0</v>
      </c>
      <c r="S197" s="52"/>
      <c r="T197" s="31">
        <f>P197-R197+S197</f>
        <v>41176</v>
      </c>
      <c r="V197" s="31">
        <v>0</v>
      </c>
    </row>
    <row r="198" spans="1:22" x14ac:dyDescent="0.2">
      <c r="A198" s="34" t="s">
        <v>65</v>
      </c>
      <c r="B198" s="31">
        <f>91921965</f>
        <v>91921965</v>
      </c>
      <c r="C198" s="31">
        <v>17534593</v>
      </c>
      <c r="D198" s="31">
        <v>0</v>
      </c>
      <c r="E198" s="31">
        <v>1484906</v>
      </c>
      <c r="F198" s="31">
        <v>0</v>
      </c>
      <c r="G198" s="31">
        <f>15400000+37536486</f>
        <v>52936486</v>
      </c>
      <c r="H198" s="31">
        <v>15230225</v>
      </c>
      <c r="I198" s="31">
        <f>78389</f>
        <v>78389</v>
      </c>
      <c r="J198" s="31">
        <f>3470653-97828</f>
        <v>3372825</v>
      </c>
      <c r="K198" s="31">
        <f>29589444</f>
        <v>29589444</v>
      </c>
      <c r="L198" s="31">
        <v>14617</v>
      </c>
      <c r="M198" s="31">
        <f>3482659-990925</f>
        <v>2491734</v>
      </c>
      <c r="N198" s="31">
        <v>9795</v>
      </c>
      <c r="O198" s="31">
        <f>2655+7014</f>
        <v>9669</v>
      </c>
      <c r="P198" s="31">
        <f>SUM(B198:O198)</f>
        <v>214674648</v>
      </c>
      <c r="Q198" s="54" t="s">
        <v>477</v>
      </c>
      <c r="R198" s="52">
        <f>'Conso C adjs'!F106</f>
        <v>95062813</v>
      </c>
      <c r="S198" s="52"/>
      <c r="T198" s="31">
        <f>P198-R198+S198-U198</f>
        <v>119611835</v>
      </c>
      <c r="V198" s="31">
        <v>0</v>
      </c>
    </row>
    <row r="199" spans="1:22" x14ac:dyDescent="0.2">
      <c r="A199" s="34"/>
      <c r="B199" s="35">
        <f t="shared" ref="B199:P199" si="7">SUM(B188:B198)</f>
        <v>93066110</v>
      </c>
      <c r="C199" s="35">
        <f t="shared" si="7"/>
        <v>28850258</v>
      </c>
      <c r="D199" s="35">
        <f t="shared" si="7"/>
        <v>2142733</v>
      </c>
      <c r="E199" s="35">
        <f t="shared" si="7"/>
        <v>1530082</v>
      </c>
      <c r="F199" s="35">
        <f t="shared" si="7"/>
        <v>284254</v>
      </c>
      <c r="G199" s="35">
        <f t="shared" si="7"/>
        <v>57765344</v>
      </c>
      <c r="H199" s="35">
        <f t="shared" si="7"/>
        <v>99944439</v>
      </c>
      <c r="I199" s="35">
        <f t="shared" si="7"/>
        <v>82099</v>
      </c>
      <c r="J199" s="35">
        <f t="shared" si="7"/>
        <v>3568301</v>
      </c>
      <c r="K199" s="35">
        <f t="shared" si="7"/>
        <v>29662244</v>
      </c>
      <c r="L199" s="35">
        <f t="shared" si="7"/>
        <v>16117</v>
      </c>
      <c r="M199" s="35">
        <f t="shared" si="7"/>
        <v>3848010</v>
      </c>
      <c r="N199" s="35">
        <f t="shared" si="7"/>
        <v>11295</v>
      </c>
      <c r="O199" s="35">
        <f t="shared" si="7"/>
        <v>11259</v>
      </c>
      <c r="P199" s="35">
        <f t="shared" si="7"/>
        <v>320782545</v>
      </c>
      <c r="Q199" s="118"/>
      <c r="R199" s="109"/>
      <c r="S199" s="109"/>
      <c r="T199" s="35">
        <f>SUM(T188:T198)</f>
        <v>225719732</v>
      </c>
      <c r="V199" s="35">
        <f>SUM(V188:V198)</f>
        <v>106067</v>
      </c>
    </row>
    <row r="200" spans="1:22" hidden="1" x14ac:dyDescent="0.2">
      <c r="A200" s="34" t="s">
        <v>93</v>
      </c>
      <c r="B200" s="39"/>
      <c r="C200" s="39"/>
      <c r="D200" s="39"/>
      <c r="E200" s="39"/>
      <c r="F200" s="39"/>
      <c r="G200" s="39"/>
      <c r="H200" s="39"/>
      <c r="I200" s="39"/>
      <c r="J200" s="39"/>
      <c r="Q200" s="118"/>
      <c r="R200" s="109"/>
      <c r="S200" s="109"/>
      <c r="T200" s="39"/>
    </row>
    <row r="201" spans="1:22" hidden="1" x14ac:dyDescent="0.2">
      <c r="A201" s="34" t="s">
        <v>94</v>
      </c>
      <c r="B201" s="31">
        <v>0</v>
      </c>
      <c r="C201" s="31">
        <v>0</v>
      </c>
      <c r="D201" s="31">
        <v>0</v>
      </c>
      <c r="E201" s="31">
        <v>0</v>
      </c>
      <c r="F201" s="31">
        <v>0</v>
      </c>
      <c r="G201" s="31">
        <v>0</v>
      </c>
      <c r="H201" s="31">
        <v>0</v>
      </c>
      <c r="I201" s="31">
        <v>0</v>
      </c>
      <c r="J201" s="31">
        <v>0</v>
      </c>
      <c r="K201" s="31">
        <v>0</v>
      </c>
      <c r="L201" s="31">
        <v>0</v>
      </c>
      <c r="M201" s="31">
        <v>0</v>
      </c>
      <c r="N201" s="31">
        <v>0</v>
      </c>
      <c r="O201" s="31">
        <v>0</v>
      </c>
      <c r="P201" s="31">
        <f>SUM(B201:O201)</f>
        <v>0</v>
      </c>
      <c r="Q201" s="118"/>
      <c r="R201" s="109"/>
      <c r="S201" s="109"/>
      <c r="T201" s="31">
        <f>P201-R201-R202-R203-R204-R205+S205+S204+S203+S202+S201</f>
        <v>0</v>
      </c>
      <c r="V201" s="31">
        <v>0</v>
      </c>
    </row>
    <row r="202" spans="1:22" hidden="1" x14ac:dyDescent="0.2">
      <c r="A202" s="34"/>
      <c r="Q202" s="118"/>
      <c r="R202" s="109"/>
      <c r="S202" s="109"/>
    </row>
    <row r="203" spans="1:22" hidden="1" x14ac:dyDescent="0.2">
      <c r="A203" s="34"/>
      <c r="Q203" s="118"/>
      <c r="R203" s="109"/>
      <c r="S203" s="109"/>
    </row>
    <row r="204" spans="1:22" hidden="1" x14ac:dyDescent="0.2">
      <c r="A204" s="34"/>
      <c r="Q204" s="118"/>
      <c r="R204" s="109"/>
      <c r="S204" s="109"/>
    </row>
    <row r="205" spans="1:22" hidden="1" x14ac:dyDescent="0.2">
      <c r="A205" s="34"/>
      <c r="Q205" s="118"/>
      <c r="R205" s="109"/>
      <c r="S205" s="109"/>
    </row>
    <row r="206" spans="1:22" hidden="1" x14ac:dyDescent="0.2">
      <c r="A206" s="34"/>
      <c r="B206" s="36"/>
      <c r="C206" s="36"/>
      <c r="D206" s="36"/>
      <c r="E206" s="36"/>
      <c r="F206" s="36"/>
      <c r="G206" s="36"/>
      <c r="H206" s="36"/>
      <c r="I206" s="36"/>
      <c r="J206" s="36"/>
      <c r="Q206" s="118"/>
      <c r="R206" s="109"/>
      <c r="S206" s="109"/>
    </row>
    <row r="207" spans="1:22" x14ac:dyDescent="0.2">
      <c r="A207" s="38" t="s">
        <v>44</v>
      </c>
      <c r="B207" s="35">
        <f t="shared" ref="B207:P207" si="8">B185+B199+B201</f>
        <v>93180699</v>
      </c>
      <c r="C207" s="35">
        <f t="shared" si="8"/>
        <v>42378918</v>
      </c>
      <c r="D207" s="35">
        <f t="shared" si="8"/>
        <v>2142733</v>
      </c>
      <c r="E207" s="35">
        <f t="shared" si="8"/>
        <v>1530082</v>
      </c>
      <c r="F207" s="35">
        <f t="shared" si="8"/>
        <v>314431</v>
      </c>
      <c r="G207" s="35">
        <f t="shared" si="8"/>
        <v>57849910</v>
      </c>
      <c r="H207" s="35">
        <f t="shared" si="8"/>
        <v>99944439</v>
      </c>
      <c r="I207" s="35">
        <f t="shared" si="8"/>
        <v>82099</v>
      </c>
      <c r="J207" s="35">
        <f t="shared" si="8"/>
        <v>3568301</v>
      </c>
      <c r="K207" s="35">
        <f t="shared" si="8"/>
        <v>29662244</v>
      </c>
      <c r="L207" s="35">
        <f t="shared" si="8"/>
        <v>16117</v>
      </c>
      <c r="M207" s="35">
        <f t="shared" si="8"/>
        <v>3848010</v>
      </c>
      <c r="N207" s="35">
        <f t="shared" si="8"/>
        <v>11295</v>
      </c>
      <c r="O207" s="35">
        <f t="shared" si="8"/>
        <v>11259</v>
      </c>
      <c r="P207" s="35">
        <f t="shared" si="8"/>
        <v>334540537</v>
      </c>
      <c r="Q207" s="118"/>
      <c r="R207" s="109"/>
      <c r="S207" s="109"/>
      <c r="T207" s="35">
        <f>T185+T199+T201</f>
        <v>240833965</v>
      </c>
      <c r="V207" s="35">
        <f>V185+V199+V201</f>
        <v>121181</v>
      </c>
    </row>
    <row r="208" spans="1:22" ht="12" thickBot="1" x14ac:dyDescent="0.25">
      <c r="A208" s="38" t="s">
        <v>45</v>
      </c>
      <c r="B208" s="37">
        <f t="shared" ref="B208:P208" si="9">B165+B207</f>
        <v>249559940</v>
      </c>
      <c r="C208" s="37">
        <f t="shared" si="9"/>
        <v>42597744</v>
      </c>
      <c r="D208" s="37">
        <f t="shared" si="9"/>
        <v>4404696</v>
      </c>
      <c r="E208" s="37">
        <f t="shared" si="9"/>
        <v>1652791</v>
      </c>
      <c r="F208" s="37">
        <f t="shared" si="9"/>
        <v>112930933</v>
      </c>
      <c r="G208" s="37">
        <f t="shared" si="9"/>
        <v>51896223</v>
      </c>
      <c r="H208" s="37">
        <f t="shared" si="9"/>
        <v>100916110</v>
      </c>
      <c r="I208" s="37">
        <f t="shared" si="9"/>
        <v>35416</v>
      </c>
      <c r="J208" s="37">
        <f t="shared" si="9"/>
        <v>3181928</v>
      </c>
      <c r="K208" s="37">
        <f t="shared" si="9"/>
        <v>29744153</v>
      </c>
      <c r="L208" s="37">
        <f t="shared" si="9"/>
        <v>1313</v>
      </c>
      <c r="M208" s="37">
        <f t="shared" si="9"/>
        <v>4405814</v>
      </c>
      <c r="N208" s="37">
        <f t="shared" si="9"/>
        <v>703</v>
      </c>
      <c r="O208" s="37">
        <f t="shared" si="9"/>
        <v>2155</v>
      </c>
      <c r="P208" s="37">
        <f t="shared" si="9"/>
        <v>601329919</v>
      </c>
      <c r="Q208" s="118"/>
      <c r="R208" s="109">
        <f>SUM(R8:R207)</f>
        <v>756424107</v>
      </c>
      <c r="S208" s="109">
        <f>SUM(S8:S207)</f>
        <v>756172457</v>
      </c>
      <c r="T208" s="37">
        <f>T165+T207</f>
        <v>409555603</v>
      </c>
      <c r="V208" s="37">
        <f>V165+V207</f>
        <v>281973</v>
      </c>
    </row>
    <row r="209" spans="1:22" ht="12" hidden="1" thickTop="1" x14ac:dyDescent="0.2">
      <c r="B209" s="31">
        <f t="shared" ref="B209:O209" si="10">B89-B208</f>
        <v>-8863470</v>
      </c>
      <c r="C209" s="31">
        <f t="shared" si="10"/>
        <v>-755765.29999999702</v>
      </c>
      <c r="D209" s="31">
        <f t="shared" si="10"/>
        <v>-403251</v>
      </c>
      <c r="E209" s="31">
        <f t="shared" si="10"/>
        <v>-65339</v>
      </c>
      <c r="F209" s="31">
        <f t="shared" si="10"/>
        <v>-3943545</v>
      </c>
      <c r="G209" s="31">
        <f t="shared" si="10"/>
        <v>-368814</v>
      </c>
      <c r="H209" s="31">
        <f t="shared" si="10"/>
        <v>-1158993</v>
      </c>
      <c r="I209" s="31">
        <f t="shared" si="10"/>
        <v>-4760</v>
      </c>
      <c r="J209" s="31">
        <f>J89-J208</f>
        <v>18686</v>
      </c>
      <c r="K209" s="44">
        <f t="shared" si="10"/>
        <v>-4442</v>
      </c>
      <c r="L209" s="31">
        <f t="shared" si="10"/>
        <v>-778</v>
      </c>
      <c r="M209" s="31">
        <f t="shared" si="10"/>
        <v>-56418</v>
      </c>
      <c r="N209" s="31">
        <f t="shared" si="10"/>
        <v>-701</v>
      </c>
      <c r="O209" s="31">
        <f t="shared" si="10"/>
        <v>-2153</v>
      </c>
      <c r="P209" s="31">
        <f>P89-P208</f>
        <v>-15609743.299999952</v>
      </c>
      <c r="T209" s="31">
        <f>T89-T208</f>
        <v>-15358093.300000012</v>
      </c>
      <c r="V209" s="31">
        <f>V89-V208</f>
        <v>0</v>
      </c>
    </row>
    <row r="210" spans="1:22" hidden="1" x14ac:dyDescent="0.2">
      <c r="B210" s="31">
        <f>B79-B198</f>
        <v>-5452848</v>
      </c>
      <c r="C210" s="31">
        <f t="shared" ref="C210:O210" si="11">C79-C198</f>
        <v>-17534593</v>
      </c>
      <c r="D210" s="31">
        <f>D79-D198</f>
        <v>21853</v>
      </c>
      <c r="E210" s="31">
        <f t="shared" si="11"/>
        <v>-1484906</v>
      </c>
      <c r="F210" s="31">
        <f t="shared" si="11"/>
        <v>105912083</v>
      </c>
      <c r="G210" s="31">
        <f t="shared" si="11"/>
        <v>-30664892</v>
      </c>
      <c r="H210" s="31">
        <f t="shared" si="11"/>
        <v>-15230225</v>
      </c>
      <c r="I210" s="31">
        <f t="shared" si="11"/>
        <v>-78389</v>
      </c>
      <c r="J210" s="31">
        <f t="shared" si="11"/>
        <v>-3372825</v>
      </c>
      <c r="K210" s="31">
        <f t="shared" si="11"/>
        <v>-29589444</v>
      </c>
      <c r="L210" s="31">
        <f t="shared" si="11"/>
        <v>-14617</v>
      </c>
      <c r="M210" s="31">
        <f>M79-M198</f>
        <v>-2491734</v>
      </c>
      <c r="N210" s="31">
        <f t="shared" si="11"/>
        <v>-9795</v>
      </c>
      <c r="O210" s="31">
        <f t="shared" si="11"/>
        <v>-9669</v>
      </c>
      <c r="P210" s="31">
        <f>P79-P198</f>
        <v>-1</v>
      </c>
      <c r="R210" s="31">
        <f>R208-S208</f>
        <v>251650</v>
      </c>
    </row>
    <row r="211" spans="1:22" hidden="1" x14ac:dyDescent="0.2"/>
    <row r="212" spans="1:22" hidden="1" x14ac:dyDescent="0.2"/>
    <row r="213" spans="1:22" hidden="1" x14ac:dyDescent="0.2"/>
    <row r="214" spans="1:22" hidden="1" x14ac:dyDescent="0.2">
      <c r="B214" s="54" t="s">
        <v>474</v>
      </c>
      <c r="C214" s="54" t="s">
        <v>474</v>
      </c>
      <c r="D214" s="54" t="s">
        <v>474</v>
      </c>
      <c r="E214" s="54" t="s">
        <v>474</v>
      </c>
      <c r="F214" s="54" t="s">
        <v>474</v>
      </c>
      <c r="G214" s="54"/>
      <c r="H214" s="54" t="s">
        <v>474</v>
      </c>
      <c r="I214" s="54" t="s">
        <v>474</v>
      </c>
      <c r="J214" s="54" t="s">
        <v>474</v>
      </c>
      <c r="K214" s="54"/>
      <c r="L214" s="54" t="s">
        <v>474</v>
      </c>
      <c r="M214" s="54" t="s">
        <v>474</v>
      </c>
      <c r="N214" s="54" t="s">
        <v>474</v>
      </c>
      <c r="O214" s="54" t="s">
        <v>474</v>
      </c>
    </row>
    <row r="215" spans="1:22" hidden="1" x14ac:dyDescent="0.2">
      <c r="A215" s="52"/>
      <c r="B215" s="50" t="s">
        <v>144</v>
      </c>
      <c r="C215" s="50"/>
    </row>
    <row r="216" spans="1:22" hidden="1" x14ac:dyDescent="0.2">
      <c r="A216" s="52" t="s">
        <v>308</v>
      </c>
      <c r="B216" s="50">
        <f>17639+1095000+2714</f>
        <v>1115353</v>
      </c>
      <c r="C216" s="50">
        <f>237247+604709+109069+172159</f>
        <v>1123184</v>
      </c>
      <c r="D216" s="31">
        <f>71175694+3799703</f>
        <v>74975397</v>
      </c>
      <c r="F216" s="31">
        <f>463125+243750+122166+65704+46316+47990+39000+7800+177727+528115+57641+482182</f>
        <v>2281516</v>
      </c>
      <c r="G216" s="31">
        <v>14671916</v>
      </c>
      <c r="H216" s="31">
        <v>1375360</v>
      </c>
      <c r="J216" s="31">
        <v>292317</v>
      </c>
      <c r="K216" s="31">
        <v>25691166</v>
      </c>
      <c r="M216" s="31">
        <v>223773</v>
      </c>
      <c r="P216" s="31">
        <f>SUM(B216:O216)</f>
        <v>121749982</v>
      </c>
    </row>
    <row r="217" spans="1:22" hidden="1" x14ac:dyDescent="0.2">
      <c r="A217" s="52" t="s">
        <v>309</v>
      </c>
      <c r="B217" s="50">
        <f>-15714-724000-2695</f>
        <v>-742409</v>
      </c>
      <c r="C217" s="50">
        <f>-77228-51101-23921-33412-1</f>
        <v>-185663</v>
      </c>
      <c r="D217" s="31">
        <f>-53824806-17350888-44336-11084-11085-11084-11084</f>
        <v>-71264367</v>
      </c>
      <c r="F217" s="31">
        <f>-113233-119452-105228-47990-763483-281797-39000-27188-2</f>
        <v>-1497373</v>
      </c>
      <c r="G217" s="31">
        <v>-6013778</v>
      </c>
      <c r="H217" s="31">
        <v>-340937</v>
      </c>
      <c r="J217" s="31">
        <v>-71476</v>
      </c>
      <c r="K217" s="31">
        <f>-211740-70580-70580-70580-70580-70580</f>
        <v>-564640</v>
      </c>
      <c r="M217" s="31">
        <v>-39837</v>
      </c>
      <c r="P217" s="31">
        <f>SUM(B217:O217)</f>
        <v>-80720480</v>
      </c>
    </row>
    <row r="218" spans="1:22" hidden="1" x14ac:dyDescent="0.2">
      <c r="A218" s="52"/>
      <c r="B218" s="50">
        <f>SUM(B216:B217)</f>
        <v>372944</v>
      </c>
      <c r="C218" s="50">
        <f>SUM(C216:C217)</f>
        <v>937521</v>
      </c>
      <c r="D218" s="50">
        <f>SUM(D216:D217)</f>
        <v>3711030</v>
      </c>
      <c r="F218" s="50">
        <f>SUM(F216:F217)</f>
        <v>784143</v>
      </c>
      <c r="G218" s="50">
        <f t="shared" ref="G218:O218" si="12">SUM(G216:G217)</f>
        <v>8658138</v>
      </c>
      <c r="H218" s="50">
        <f>SUM(H216:H217)</f>
        <v>1034423</v>
      </c>
      <c r="I218" s="50">
        <f t="shared" si="12"/>
        <v>0</v>
      </c>
      <c r="J218" s="50">
        <f t="shared" si="12"/>
        <v>220841</v>
      </c>
      <c r="K218" s="50">
        <f t="shared" si="12"/>
        <v>25126526</v>
      </c>
      <c r="L218" s="50">
        <f t="shared" si="12"/>
        <v>0</v>
      </c>
      <c r="M218" s="50">
        <f t="shared" si="12"/>
        <v>183936</v>
      </c>
      <c r="N218" s="50">
        <f t="shared" si="12"/>
        <v>0</v>
      </c>
      <c r="O218" s="50">
        <f t="shared" si="12"/>
        <v>0</v>
      </c>
      <c r="P218" s="50">
        <f>SUM(P216:P217)</f>
        <v>41029502</v>
      </c>
    </row>
    <row r="219" spans="1:22" hidden="1" x14ac:dyDescent="0.2">
      <c r="B219" s="31">
        <f t="shared" ref="B219:O219" si="13">B218-B8</f>
        <v>0</v>
      </c>
      <c r="C219" s="31">
        <f t="shared" si="13"/>
        <v>0</v>
      </c>
      <c r="D219" s="31">
        <f t="shared" si="13"/>
        <v>0</v>
      </c>
      <c r="E219" s="31">
        <f t="shared" si="13"/>
        <v>0</v>
      </c>
      <c r="F219" s="31">
        <f t="shared" si="13"/>
        <v>0</v>
      </c>
      <c r="G219" s="31">
        <f t="shared" si="13"/>
        <v>0</v>
      </c>
      <c r="H219" s="109">
        <f t="shared" si="13"/>
        <v>0</v>
      </c>
      <c r="I219" s="31">
        <f t="shared" si="13"/>
        <v>0</v>
      </c>
      <c r="J219" s="31">
        <f t="shared" si="13"/>
        <v>0</v>
      </c>
      <c r="K219" s="31">
        <f t="shared" si="13"/>
        <v>0</v>
      </c>
      <c r="L219" s="31">
        <f t="shared" si="13"/>
        <v>0</v>
      </c>
      <c r="M219" s="31">
        <f t="shared" si="13"/>
        <v>0</v>
      </c>
      <c r="N219" s="31">
        <f t="shared" si="13"/>
        <v>0</v>
      </c>
      <c r="O219" s="31">
        <f t="shared" si="13"/>
        <v>0</v>
      </c>
    </row>
    <row r="220" spans="1:22" hidden="1" x14ac:dyDescent="0.2">
      <c r="A220" s="64" t="s">
        <v>324</v>
      </c>
      <c r="B220" s="31">
        <v>40000</v>
      </c>
      <c r="C220" s="31">
        <f>5162+404139+98090+98090</f>
        <v>605481</v>
      </c>
      <c r="D220" s="31">
        <v>0</v>
      </c>
      <c r="E220" s="31">
        <v>0</v>
      </c>
      <c r="F220" s="31">
        <v>0</v>
      </c>
      <c r="G220" s="52">
        <v>74357</v>
      </c>
      <c r="H220" s="52">
        <v>148581</v>
      </c>
      <c r="I220" s="31">
        <v>0</v>
      </c>
      <c r="J220" s="52">
        <v>14355</v>
      </c>
      <c r="K220" s="31">
        <v>0</v>
      </c>
      <c r="L220" s="31">
        <v>0</v>
      </c>
      <c r="M220" s="31">
        <v>17584</v>
      </c>
      <c r="N220" s="31">
        <v>0</v>
      </c>
      <c r="O220" s="31">
        <v>0</v>
      </c>
      <c r="P220" s="31">
        <f>SUM(B220:O220)</f>
        <v>900358</v>
      </c>
    </row>
    <row r="221" spans="1:22" hidden="1" x14ac:dyDescent="0.2">
      <c r="A221" s="64" t="s">
        <v>323</v>
      </c>
      <c r="B221" s="31">
        <f>53005+55004+55005+55005</f>
        <v>218019</v>
      </c>
      <c r="C221" s="31">
        <v>83133</v>
      </c>
      <c r="D221" s="31">
        <f>44337</f>
        <v>44337</v>
      </c>
      <c r="E221" s="31">
        <v>0</v>
      </c>
      <c r="F221" s="31">
        <f>9263+2103+9864+792+33787+48218+955</f>
        <v>104982</v>
      </c>
      <c r="G221" s="31">
        <v>2815064</v>
      </c>
      <c r="H221" s="31">
        <v>140605</v>
      </c>
      <c r="I221" s="31">
        <v>0</v>
      </c>
      <c r="J221" s="31">
        <v>32778</v>
      </c>
      <c r="K221" s="31">
        <v>0</v>
      </c>
      <c r="L221" s="31">
        <v>0</v>
      </c>
      <c r="M221" s="31">
        <v>26963</v>
      </c>
      <c r="N221" s="31">
        <v>0</v>
      </c>
      <c r="O221" s="31">
        <v>0</v>
      </c>
      <c r="P221" s="98">
        <f>SUM(B221:O221)</f>
        <v>3465881</v>
      </c>
      <c r="Q221" s="67" t="s">
        <v>325</v>
      </c>
    </row>
    <row r="222" spans="1:22" hidden="1" x14ac:dyDescent="0.2">
      <c r="A222" s="64" t="s">
        <v>411</v>
      </c>
      <c r="F222" s="31">
        <v>9263</v>
      </c>
      <c r="P222" s="98">
        <f>SUM(B222:O222)</f>
        <v>9263</v>
      </c>
      <c r="Q222" s="67" t="s">
        <v>325</v>
      </c>
    </row>
    <row r="223" spans="1:22" hidden="1" x14ac:dyDescent="0.2">
      <c r="F223" s="31">
        <v>463125</v>
      </c>
    </row>
    <row r="224" spans="1:22" hidden="1" x14ac:dyDescent="0.2">
      <c r="B224" s="119" t="s">
        <v>514</v>
      </c>
      <c r="C224" s="31">
        <v>30000</v>
      </c>
      <c r="D224" s="52"/>
      <c r="F224" s="31">
        <f>-103973-2315-2316-2316-2315</f>
        <v>-113235</v>
      </c>
    </row>
    <row r="225" spans="1:20" hidden="1" x14ac:dyDescent="0.2">
      <c r="D225" s="52"/>
      <c r="F225" s="31">
        <f>SUM(F223:F224)</f>
        <v>349890</v>
      </c>
    </row>
    <row r="226" spans="1:20" hidden="1" x14ac:dyDescent="0.2">
      <c r="F226" s="31">
        <f>F225-F13</f>
        <v>0</v>
      </c>
      <c r="K226" s="31">
        <f>550920-70580-70580-70580-70580</f>
        <v>268600</v>
      </c>
      <c r="P226" s="31">
        <f>SUM(B226:O226)</f>
        <v>268600</v>
      </c>
    </row>
    <row r="227" spans="1:20" hidden="1" x14ac:dyDescent="0.2">
      <c r="K227" s="31">
        <v>0</v>
      </c>
      <c r="P227" s="98">
        <f>SUM(B227:O227)</f>
        <v>0</v>
      </c>
      <c r="Q227" s="67" t="s">
        <v>326</v>
      </c>
    </row>
    <row r="228" spans="1:20" hidden="1" x14ac:dyDescent="0.2">
      <c r="D228" s="50"/>
      <c r="K228" s="31">
        <v>0</v>
      </c>
      <c r="P228" s="31">
        <f>SUM(P226:P227)</f>
        <v>268600</v>
      </c>
    </row>
    <row r="229" spans="1:20" hidden="1" x14ac:dyDescent="0.2">
      <c r="K229" s="31">
        <f>K228-K17</f>
        <v>0</v>
      </c>
    </row>
    <row r="230" spans="1:20" hidden="1" x14ac:dyDescent="0.2"/>
    <row r="231" spans="1:20" hidden="1" x14ac:dyDescent="0.2">
      <c r="P231" s="31">
        <f>P216+P226</f>
        <v>122018582</v>
      </c>
      <c r="R231" s="31">
        <f>R17+R19-S18-S20</f>
        <v>6783166</v>
      </c>
      <c r="T231" s="31">
        <f>P231+R231</f>
        <v>128801748</v>
      </c>
    </row>
    <row r="232" spans="1:20" hidden="1" x14ac:dyDescent="0.2">
      <c r="P232" s="31">
        <f>P217+P227</f>
        <v>-80720480</v>
      </c>
      <c r="T232" s="31">
        <f>P232+R232</f>
        <v>-80720480</v>
      </c>
    </row>
    <row r="233" spans="1:20" ht="12" thickTop="1" x14ac:dyDescent="0.2">
      <c r="A233" s="64"/>
      <c r="P233" s="31">
        <f>SUM(P231:P232)</f>
        <v>41298102</v>
      </c>
      <c r="T233" s="31">
        <f>SUM(T231:T232)</f>
        <v>48081268</v>
      </c>
    </row>
    <row r="235" spans="1:20" x14ac:dyDescent="0.2">
      <c r="A235" s="64"/>
    </row>
    <row r="236" spans="1:20" x14ac:dyDescent="0.2">
      <c r="A236" s="64"/>
    </row>
    <row r="237" spans="1:20" x14ac:dyDescent="0.2">
      <c r="A237" s="64"/>
    </row>
    <row r="238" spans="1:20" x14ac:dyDescent="0.2">
      <c r="A238" s="64"/>
    </row>
    <row r="239" spans="1:20" x14ac:dyDescent="0.2">
      <c r="A239" s="64"/>
    </row>
    <row r="243" spans="1:1" x14ac:dyDescent="0.2">
      <c r="A243" s="47"/>
    </row>
    <row r="244" spans="1:1" x14ac:dyDescent="0.2">
      <c r="A244" s="47"/>
    </row>
    <row r="245" spans="1:1" x14ac:dyDescent="0.2">
      <c r="A245" s="76"/>
    </row>
    <row r="246" spans="1:1" x14ac:dyDescent="0.2">
      <c r="A246" s="76"/>
    </row>
    <row r="247" spans="1:1" x14ac:dyDescent="0.2">
      <c r="A247" s="76"/>
    </row>
  </sheetData>
  <mergeCells count="3">
    <mergeCell ref="A1:T1"/>
    <mergeCell ref="A2:T2"/>
    <mergeCell ref="R4:S4"/>
  </mergeCells>
  <pageMargins left="0.19685039370078741" right="0.19685039370078741" top="0.74803149606299213" bottom="0.47244094488188981" header="0.31496062992125984" footer="0.31496062992125984"/>
  <pageSetup paperSize="9"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8"/>
  <sheetViews>
    <sheetView workbookViewId="0">
      <selection sqref="A1:AP1"/>
    </sheetView>
  </sheetViews>
  <sheetFormatPr defaultRowHeight="12.75" x14ac:dyDescent="0.2"/>
  <cols>
    <col min="1" max="1" width="25.28515625" bestFit="1" customWidth="1"/>
    <col min="2" max="2" width="11.85546875" bestFit="1" customWidth="1"/>
    <col min="3" max="3" width="10.28515625" bestFit="1" customWidth="1"/>
    <col min="4" max="4" width="11.85546875" customWidth="1"/>
    <col min="5" max="5" width="5" style="20" customWidth="1"/>
    <col min="6" max="6" width="10.85546875" bestFit="1" customWidth="1"/>
    <col min="7" max="7" width="10.28515625" bestFit="1" customWidth="1"/>
    <col min="8" max="8" width="10.85546875" bestFit="1" customWidth="1"/>
  </cols>
  <sheetData>
    <row r="3" spans="1:13" x14ac:dyDescent="0.2">
      <c r="B3" s="615" t="s">
        <v>583</v>
      </c>
      <c r="C3" s="615"/>
      <c r="D3" s="615"/>
      <c r="E3" s="158"/>
      <c r="F3" s="615" t="s">
        <v>583</v>
      </c>
      <c r="G3" s="615"/>
      <c r="H3" s="615"/>
    </row>
    <row r="4" spans="1:13" x14ac:dyDescent="0.2">
      <c r="B4" s="615" t="s">
        <v>565</v>
      </c>
      <c r="C4" s="615"/>
      <c r="D4" s="615"/>
      <c r="E4" s="21"/>
      <c r="F4" s="615" t="s">
        <v>570</v>
      </c>
      <c r="G4" s="615"/>
      <c r="H4" s="615"/>
    </row>
    <row r="6" spans="1:13" x14ac:dyDescent="0.2">
      <c r="A6" s="30" t="s">
        <v>8</v>
      </c>
      <c r="B6" s="154">
        <f>'C-BS'!D8</f>
        <v>0</v>
      </c>
      <c r="C6" s="154">
        <v>7910000</v>
      </c>
      <c r="D6" s="154">
        <f>SUM(B6:C6)</f>
        <v>7910000</v>
      </c>
      <c r="E6" s="157"/>
      <c r="F6" s="154">
        <v>0</v>
      </c>
      <c r="G6" s="154"/>
      <c r="H6" s="154">
        <f t="shared" ref="H6:H11" si="0">SUM(F6:G6)</f>
        <v>0</v>
      </c>
      <c r="I6" s="154"/>
      <c r="J6" s="154"/>
      <c r="K6" s="154"/>
      <c r="L6" s="154"/>
      <c r="M6" s="154"/>
    </row>
    <row r="7" spans="1:13" x14ac:dyDescent="0.2">
      <c r="A7" s="34" t="s">
        <v>34</v>
      </c>
      <c r="B7" s="154">
        <v>0</v>
      </c>
      <c r="C7" s="154">
        <v>0</v>
      </c>
      <c r="D7" s="154">
        <f>SUM(B7:C7)</f>
        <v>0</v>
      </c>
      <c r="E7" s="157"/>
      <c r="F7" s="154">
        <f>'C-BS'!E19</f>
        <v>0</v>
      </c>
      <c r="G7" s="154">
        <v>2488000</v>
      </c>
      <c r="H7" s="154">
        <f t="shared" si="0"/>
        <v>2488000</v>
      </c>
      <c r="I7" s="154"/>
      <c r="J7" s="154"/>
      <c r="K7" s="154"/>
      <c r="L7" s="154"/>
      <c r="M7" s="154"/>
    </row>
    <row r="8" spans="1:13" x14ac:dyDescent="0.2">
      <c r="A8" s="34"/>
      <c r="B8" s="154"/>
      <c r="C8" s="154"/>
      <c r="D8" s="154"/>
      <c r="E8" s="157"/>
      <c r="F8" s="154"/>
      <c r="G8" s="154"/>
      <c r="H8" s="154">
        <f t="shared" si="0"/>
        <v>0</v>
      </c>
      <c r="I8" s="154"/>
      <c r="J8" s="154"/>
      <c r="K8" s="154"/>
      <c r="L8" s="154"/>
      <c r="M8" s="154"/>
    </row>
    <row r="9" spans="1:13" x14ac:dyDescent="0.2">
      <c r="A9" s="30" t="s">
        <v>11</v>
      </c>
      <c r="B9" s="154">
        <f>'C-BS'!D97</f>
        <v>373700</v>
      </c>
      <c r="C9" s="154">
        <v>0</v>
      </c>
      <c r="D9" s="154">
        <f>SUM(B9:C9)</f>
        <v>373700</v>
      </c>
      <c r="E9" s="157"/>
      <c r="F9" s="154">
        <f>'C-BS'!E97</f>
        <v>0</v>
      </c>
      <c r="G9" s="154"/>
      <c r="H9" s="154">
        <f t="shared" si="0"/>
        <v>0</v>
      </c>
      <c r="I9" s="154"/>
      <c r="J9" s="154"/>
      <c r="K9" s="154"/>
      <c r="L9" s="154"/>
      <c r="M9" s="154"/>
    </row>
    <row r="10" spans="1:13" x14ac:dyDescent="0.2">
      <c r="A10" s="30" t="s">
        <v>16</v>
      </c>
      <c r="B10" s="154">
        <f>'C-BS'!D108</f>
        <v>38990</v>
      </c>
      <c r="C10" s="154">
        <v>0</v>
      </c>
      <c r="D10" s="154">
        <f>SUM(B10:C10)</f>
        <v>38990</v>
      </c>
      <c r="E10" s="157"/>
      <c r="F10" s="154">
        <f>'C-BS'!E108</f>
        <v>0</v>
      </c>
      <c r="G10" s="154"/>
      <c r="H10" s="154">
        <f t="shared" si="0"/>
        <v>0</v>
      </c>
      <c r="I10" s="154"/>
      <c r="J10" s="154"/>
      <c r="K10" s="154"/>
      <c r="L10" s="154"/>
      <c r="M10" s="154"/>
    </row>
    <row r="11" spans="1:13" x14ac:dyDescent="0.2">
      <c r="A11" s="34" t="s">
        <v>65</v>
      </c>
      <c r="B11" s="154">
        <f>'C-BS'!D121</f>
        <v>0</v>
      </c>
      <c r="C11" s="154">
        <v>0</v>
      </c>
      <c r="D11" s="154">
        <f>SUM(B11:C11)</f>
        <v>0</v>
      </c>
      <c r="E11" s="157"/>
      <c r="F11" s="154">
        <f>'C-BS'!E121</f>
        <v>0</v>
      </c>
      <c r="G11" s="154"/>
      <c r="H11" s="154">
        <f t="shared" si="0"/>
        <v>0</v>
      </c>
      <c r="I11" s="154"/>
      <c r="J11" s="154"/>
      <c r="K11" s="154"/>
      <c r="L11" s="154"/>
      <c r="M11" s="154"/>
    </row>
    <row r="12" spans="1:13" x14ac:dyDescent="0.2">
      <c r="A12" s="38" t="s">
        <v>40</v>
      </c>
      <c r="B12" s="155">
        <f>SUM(B9:B11)</f>
        <v>412690</v>
      </c>
      <c r="C12" s="155">
        <f>SUM(C9:C11)</f>
        <v>0</v>
      </c>
      <c r="D12" s="155">
        <f>SUM(D9:D11)</f>
        <v>412690</v>
      </c>
      <c r="E12" s="157"/>
      <c r="F12" s="155">
        <f>SUM(F9:F11)</f>
        <v>0</v>
      </c>
      <c r="G12" s="155">
        <f>SUM(G9:G11)</f>
        <v>0</v>
      </c>
      <c r="H12" s="155">
        <f>SUM(H9:H11)</f>
        <v>0</v>
      </c>
      <c r="I12" s="154"/>
      <c r="J12" s="154"/>
      <c r="K12" s="154"/>
      <c r="L12" s="154"/>
      <c r="M12" s="154"/>
    </row>
    <row r="13" spans="1:13" x14ac:dyDescent="0.2">
      <c r="B13" s="154"/>
      <c r="C13" s="154"/>
      <c r="D13" s="154"/>
      <c r="E13" s="157"/>
      <c r="F13" s="154"/>
      <c r="G13" s="154"/>
      <c r="H13" s="154"/>
      <c r="I13" s="154"/>
      <c r="J13" s="154"/>
      <c r="K13" s="154"/>
      <c r="L13" s="154"/>
      <c r="M13" s="154"/>
    </row>
    <row r="14" spans="1:13" ht="13.5" thickBot="1" x14ac:dyDescent="0.25">
      <c r="A14" s="33" t="s">
        <v>38</v>
      </c>
      <c r="B14" s="156">
        <f>B6+B7+B12</f>
        <v>412690</v>
      </c>
      <c r="C14" s="156">
        <f>C6+C7+C12</f>
        <v>7910000</v>
      </c>
      <c r="D14" s="156">
        <f>D6+D7+D12</f>
        <v>8322690</v>
      </c>
      <c r="E14" s="157"/>
      <c r="F14" s="156">
        <f>F6+F7+F12</f>
        <v>0</v>
      </c>
      <c r="G14" s="156">
        <f>G6+G7+G12</f>
        <v>2488000</v>
      </c>
      <c r="H14" s="156">
        <f>H6+H7+H12</f>
        <v>2488000</v>
      </c>
      <c r="I14" s="154"/>
      <c r="J14" s="154"/>
      <c r="K14" s="154"/>
      <c r="L14" s="154"/>
      <c r="M14" s="154"/>
    </row>
    <row r="15" spans="1:13" ht="13.5" thickTop="1" x14ac:dyDescent="0.2">
      <c r="B15" s="154"/>
      <c r="C15" s="154"/>
      <c r="D15" s="154"/>
      <c r="E15" s="157"/>
      <c r="F15" s="154"/>
      <c r="G15" s="154"/>
      <c r="H15" s="154"/>
      <c r="I15" s="154"/>
      <c r="J15" s="154"/>
      <c r="K15" s="154"/>
      <c r="L15" s="154"/>
      <c r="M15" s="154"/>
    </row>
    <row r="16" spans="1:13" x14ac:dyDescent="0.2">
      <c r="B16" s="154"/>
      <c r="C16" s="154"/>
      <c r="D16" s="154"/>
      <c r="E16" s="157"/>
      <c r="F16" s="154"/>
      <c r="G16" s="154"/>
      <c r="H16" s="154"/>
      <c r="I16" s="154"/>
      <c r="J16" s="154"/>
      <c r="K16" s="154"/>
      <c r="L16" s="154"/>
      <c r="M16" s="154"/>
    </row>
    <row r="17" spans="1:13" x14ac:dyDescent="0.2">
      <c r="A17" s="30" t="s">
        <v>14</v>
      </c>
      <c r="B17" s="154">
        <f>'C-BS'!D139</f>
        <v>28000000</v>
      </c>
      <c r="C17" s="154">
        <v>0</v>
      </c>
      <c r="D17" s="154">
        <f>SUM(B17:C17)</f>
        <v>28000000</v>
      </c>
      <c r="E17" s="157"/>
      <c r="F17" s="154">
        <f>'C-BS'!E139</f>
        <v>0</v>
      </c>
      <c r="G17" s="154">
        <v>0</v>
      </c>
      <c r="H17" s="154">
        <f>SUM(F17:G17)</f>
        <v>0</v>
      </c>
      <c r="I17" s="154"/>
      <c r="J17" s="154"/>
      <c r="K17" s="154"/>
      <c r="L17" s="154"/>
      <c r="M17" s="154"/>
    </row>
    <row r="18" spans="1:13" x14ac:dyDescent="0.2">
      <c r="A18" s="30" t="s">
        <v>39</v>
      </c>
      <c r="B18" s="154">
        <f>'C-BS'!D175</f>
        <v>-26107403</v>
      </c>
      <c r="C18" s="154">
        <v>0</v>
      </c>
      <c r="D18" s="154">
        <f>SUM(B18:C18)</f>
        <v>-26107403</v>
      </c>
      <c r="E18" s="157"/>
      <c r="F18" s="154">
        <f>'C-BS'!E175</f>
        <v>0</v>
      </c>
      <c r="G18" s="154">
        <v>0</v>
      </c>
      <c r="H18" s="154">
        <f>SUM(F18:G18)</f>
        <v>0</v>
      </c>
      <c r="I18" s="154"/>
      <c r="J18" s="154"/>
      <c r="K18" s="154"/>
      <c r="L18" s="154"/>
      <c r="M18" s="154"/>
    </row>
    <row r="19" spans="1:13" x14ac:dyDescent="0.2">
      <c r="B19" s="154">
        <f>'C-BS'!D228</f>
        <v>12237</v>
      </c>
      <c r="C19" s="154">
        <v>0</v>
      </c>
      <c r="D19" s="154">
        <f>SUM(B19:C19)</f>
        <v>12237</v>
      </c>
      <c r="E19" s="157"/>
      <c r="F19" s="154">
        <f>'C-BS'!E228</f>
        <v>0</v>
      </c>
      <c r="G19" s="154">
        <v>0</v>
      </c>
      <c r="H19" s="154">
        <f>SUM(F19:G19)</f>
        <v>0</v>
      </c>
      <c r="I19" s="154"/>
      <c r="J19" s="154"/>
      <c r="K19" s="154"/>
      <c r="L19" s="154"/>
      <c r="M19" s="154"/>
    </row>
    <row r="20" spans="1:13" x14ac:dyDescent="0.2">
      <c r="A20" s="7" t="s">
        <v>172</v>
      </c>
      <c r="B20" s="154">
        <v>0</v>
      </c>
      <c r="C20" s="154">
        <v>7910000</v>
      </c>
      <c r="D20" s="154">
        <f>SUM(B20:C20)</f>
        <v>7910000</v>
      </c>
      <c r="E20" s="157"/>
      <c r="F20" s="154">
        <v>0</v>
      </c>
      <c r="G20" s="154">
        <v>2488000</v>
      </c>
      <c r="H20" s="154">
        <f>SUM(F20:G20)</f>
        <v>2488000</v>
      </c>
      <c r="I20" s="154"/>
      <c r="J20" s="154"/>
      <c r="K20" s="154"/>
      <c r="L20" s="154"/>
      <c r="M20" s="154"/>
    </row>
    <row r="21" spans="1:13" x14ac:dyDescent="0.2">
      <c r="A21" s="38" t="s">
        <v>41</v>
      </c>
      <c r="B21" s="155">
        <f>SUM(B17:B20)</f>
        <v>1904834</v>
      </c>
      <c r="C21" s="155">
        <f>SUM(C17:C20)</f>
        <v>7910000</v>
      </c>
      <c r="D21" s="155">
        <f>SUM(D17:D20)</f>
        <v>9814834</v>
      </c>
      <c r="E21" s="157"/>
      <c r="F21" s="155">
        <f>SUM(F17:F20)</f>
        <v>0</v>
      </c>
      <c r="G21" s="155">
        <f>SUM(G17:G20)</f>
        <v>2488000</v>
      </c>
      <c r="H21" s="155">
        <f>SUM(H17:H20)</f>
        <v>2488000</v>
      </c>
      <c r="I21" s="154"/>
      <c r="J21" s="154"/>
      <c r="K21" s="154"/>
      <c r="L21" s="154"/>
      <c r="M21" s="154"/>
    </row>
    <row r="22" spans="1:13" x14ac:dyDescent="0.2">
      <c r="B22" s="154"/>
      <c r="C22" s="154"/>
      <c r="D22" s="154"/>
      <c r="E22" s="157"/>
      <c r="F22" s="154"/>
      <c r="G22" s="154"/>
      <c r="H22" s="154"/>
      <c r="I22" s="154"/>
      <c r="J22" s="154"/>
      <c r="K22" s="154"/>
      <c r="L22" s="154"/>
      <c r="M22" s="154"/>
    </row>
    <row r="23" spans="1:13" x14ac:dyDescent="0.2">
      <c r="B23" s="154"/>
      <c r="C23" s="154"/>
      <c r="D23" s="154"/>
      <c r="E23" s="157"/>
      <c r="F23" s="154"/>
      <c r="G23" s="154"/>
      <c r="H23" s="154"/>
      <c r="I23" s="154"/>
      <c r="J23" s="154"/>
      <c r="K23" s="154"/>
      <c r="L23" s="154"/>
      <c r="M23" s="154"/>
    </row>
    <row r="24" spans="1:13" x14ac:dyDescent="0.2">
      <c r="A24" s="30" t="s">
        <v>13</v>
      </c>
      <c r="B24" s="157">
        <f>'C-BS'!D273</f>
        <v>1032078</v>
      </c>
      <c r="C24" s="157">
        <v>0</v>
      </c>
      <c r="D24" s="154">
        <f>SUM(B24:C24)</f>
        <v>1032078</v>
      </c>
      <c r="E24" s="157"/>
      <c r="F24" s="157">
        <f>'C-BS'!E273</f>
        <v>0</v>
      </c>
      <c r="G24" s="154">
        <v>0</v>
      </c>
      <c r="H24" s="154">
        <f>SUM(F24:G24)</f>
        <v>0</v>
      </c>
      <c r="I24" s="154"/>
      <c r="J24" s="154"/>
      <c r="K24" s="154"/>
      <c r="L24" s="154"/>
      <c r="M24" s="154"/>
    </row>
    <row r="25" spans="1:13" x14ac:dyDescent="0.2">
      <c r="A25" s="34" t="s">
        <v>65</v>
      </c>
      <c r="B25" s="157">
        <v>0</v>
      </c>
      <c r="C25" s="157">
        <v>0</v>
      </c>
      <c r="D25" s="154">
        <f>SUM(B25:C25)</f>
        <v>0</v>
      </c>
      <c r="E25" s="157"/>
      <c r="F25" s="157">
        <f>'C-BS'!E283</f>
        <v>0</v>
      </c>
      <c r="G25" s="154">
        <v>0</v>
      </c>
      <c r="H25" s="154">
        <f>SUM(F25:G25)</f>
        <v>0</v>
      </c>
      <c r="I25" s="154"/>
      <c r="J25" s="154"/>
      <c r="K25" s="154"/>
      <c r="L25" s="154"/>
      <c r="M25" s="154"/>
    </row>
    <row r="26" spans="1:13" x14ac:dyDescent="0.2">
      <c r="B26" s="154"/>
      <c r="C26" s="154"/>
      <c r="D26" s="154"/>
      <c r="E26" s="157"/>
      <c r="F26" s="154"/>
      <c r="G26" s="154"/>
      <c r="H26" s="154"/>
      <c r="I26" s="154"/>
      <c r="J26" s="154"/>
      <c r="K26" s="154"/>
      <c r="L26" s="154"/>
      <c r="M26" s="154"/>
    </row>
    <row r="27" spans="1:13" x14ac:dyDescent="0.2">
      <c r="A27" s="38" t="s">
        <v>604</v>
      </c>
      <c r="B27" s="155">
        <f>SUM(B24:B26)</f>
        <v>1032078</v>
      </c>
      <c r="C27" s="155">
        <f>SUM(C24:C26)</f>
        <v>0</v>
      </c>
      <c r="D27" s="155">
        <f>SUM(D24:D26)</f>
        <v>1032078</v>
      </c>
      <c r="E27" s="157"/>
      <c r="F27" s="155">
        <f>SUM(F24:F26)</f>
        <v>0</v>
      </c>
      <c r="G27" s="155">
        <f>SUM(G24:G26)</f>
        <v>0</v>
      </c>
      <c r="H27" s="155">
        <f>SUM(H24:H26)</f>
        <v>0</v>
      </c>
      <c r="I27" s="154"/>
      <c r="J27" s="154"/>
      <c r="K27" s="154"/>
      <c r="L27" s="154"/>
      <c r="M27" s="154"/>
    </row>
    <row r="28" spans="1:13" x14ac:dyDescent="0.2">
      <c r="A28" s="38"/>
      <c r="B28" s="157"/>
      <c r="C28" s="157"/>
      <c r="D28" s="157"/>
      <c r="E28" s="157"/>
      <c r="F28" s="157"/>
      <c r="G28" s="154"/>
      <c r="H28" s="154"/>
      <c r="I28" s="154"/>
      <c r="J28" s="154"/>
      <c r="K28" s="154"/>
      <c r="L28" s="154"/>
      <c r="M28" s="154"/>
    </row>
    <row r="29" spans="1:13" x14ac:dyDescent="0.2">
      <c r="A29" s="38" t="s">
        <v>44</v>
      </c>
      <c r="B29" s="157">
        <f>B27</f>
        <v>1032078</v>
      </c>
      <c r="C29" s="157">
        <f>C27</f>
        <v>0</v>
      </c>
      <c r="D29" s="154">
        <f>SUM(B29:C29)</f>
        <v>1032078</v>
      </c>
      <c r="E29" s="157"/>
      <c r="F29" s="157">
        <f>F27</f>
        <v>0</v>
      </c>
      <c r="G29" s="157">
        <f>G27</f>
        <v>0</v>
      </c>
      <c r="H29" s="154">
        <f>SUM(F29:G29)</f>
        <v>0</v>
      </c>
      <c r="I29" s="154"/>
      <c r="J29" s="154"/>
      <c r="K29" s="154"/>
      <c r="L29" s="154"/>
      <c r="M29" s="154"/>
    </row>
    <row r="30" spans="1:13" x14ac:dyDescent="0.2">
      <c r="B30" s="154"/>
      <c r="C30" s="154"/>
      <c r="D30" s="154"/>
      <c r="E30" s="157"/>
      <c r="F30" s="154"/>
      <c r="G30" s="154"/>
      <c r="H30" s="154"/>
      <c r="I30" s="154"/>
      <c r="J30" s="154"/>
      <c r="K30" s="154"/>
      <c r="L30" s="154"/>
      <c r="M30" s="154"/>
    </row>
    <row r="31" spans="1:13" ht="13.5" thickBot="1" x14ac:dyDescent="0.25">
      <c r="A31" s="38" t="s">
        <v>45</v>
      </c>
      <c r="B31" s="156">
        <f>B21+B29</f>
        <v>2936912</v>
      </c>
      <c r="C31" s="156">
        <f>C21+C29</f>
        <v>7910000</v>
      </c>
      <c r="D31" s="156">
        <f>D21+D29</f>
        <v>10846912</v>
      </c>
      <c r="E31" s="157"/>
      <c r="F31" s="156">
        <f>F21+F29</f>
        <v>0</v>
      </c>
      <c r="G31" s="156">
        <f>G21+G29</f>
        <v>2488000</v>
      </c>
      <c r="H31" s="156">
        <f>H21+H29</f>
        <v>2488000</v>
      </c>
      <c r="I31" s="154"/>
      <c r="J31" s="154"/>
      <c r="K31" s="154"/>
      <c r="L31" s="154"/>
      <c r="M31" s="154"/>
    </row>
    <row r="32" spans="1:13" ht="13.5" thickTop="1" x14ac:dyDescent="0.2">
      <c r="B32" s="154">
        <f>B14-B31</f>
        <v>-2524222</v>
      </c>
      <c r="C32" s="154">
        <f>C14-C31</f>
        <v>0</v>
      </c>
      <c r="D32" s="154">
        <f>D14-D31</f>
        <v>-2524222</v>
      </c>
      <c r="E32" s="157"/>
      <c r="F32" s="154">
        <f>F14-F31</f>
        <v>0</v>
      </c>
      <c r="G32" s="154">
        <f>G14-G31</f>
        <v>0</v>
      </c>
      <c r="H32" s="154">
        <f>H14-H31</f>
        <v>0</v>
      </c>
      <c r="I32" s="154"/>
      <c r="J32" s="154"/>
      <c r="K32" s="154"/>
      <c r="L32" s="154"/>
      <c r="M32" s="154"/>
    </row>
    <row r="33" spans="1:13" x14ac:dyDescent="0.2">
      <c r="A33" s="3" t="s">
        <v>605</v>
      </c>
      <c r="B33" s="154">
        <f>B14-B29</f>
        <v>-619388</v>
      </c>
      <c r="C33" s="154">
        <f>C14-C29</f>
        <v>7910000</v>
      </c>
      <c r="D33" s="154">
        <f>D14-D29</f>
        <v>7290612</v>
      </c>
      <c r="E33" s="157"/>
      <c r="F33" s="154">
        <f>F14-F29</f>
        <v>0</v>
      </c>
      <c r="G33" s="154">
        <f>G14-G29</f>
        <v>2488000</v>
      </c>
      <c r="H33" s="154">
        <f>H14-H29</f>
        <v>2488000</v>
      </c>
      <c r="I33" s="154"/>
      <c r="J33" s="154"/>
      <c r="K33" s="154"/>
      <c r="L33" s="154"/>
      <c r="M33" s="154"/>
    </row>
    <row r="34" spans="1:13" x14ac:dyDescent="0.2">
      <c r="B34" s="154"/>
      <c r="C34" s="154"/>
      <c r="D34" s="154"/>
      <c r="E34" s="157"/>
      <c r="F34" s="154"/>
      <c r="G34" s="154"/>
      <c r="H34" s="154"/>
      <c r="I34" s="154"/>
      <c r="J34" s="154"/>
      <c r="K34" s="154"/>
      <c r="L34" s="154"/>
      <c r="M34" s="154"/>
    </row>
    <row r="35" spans="1:13" x14ac:dyDescent="0.2">
      <c r="B35" s="154"/>
      <c r="C35" s="154"/>
      <c r="D35" s="154"/>
      <c r="E35" s="157"/>
      <c r="F35" s="154"/>
      <c r="G35" s="154"/>
      <c r="H35" s="154"/>
      <c r="I35" s="154"/>
      <c r="J35" s="154"/>
      <c r="K35" s="154"/>
      <c r="L35" s="154"/>
      <c r="M35" s="154"/>
    </row>
    <row r="36" spans="1:13" x14ac:dyDescent="0.2">
      <c r="B36" s="154"/>
      <c r="C36" s="154"/>
      <c r="D36" s="154"/>
      <c r="E36" s="157"/>
      <c r="F36" s="154"/>
      <c r="G36" s="154"/>
      <c r="H36" s="154"/>
      <c r="I36" s="154"/>
      <c r="J36" s="154"/>
      <c r="K36" s="154"/>
      <c r="L36" s="154"/>
      <c r="M36" s="154"/>
    </row>
    <row r="37" spans="1:13" x14ac:dyDescent="0.2">
      <c r="B37" s="154"/>
      <c r="C37" s="154"/>
      <c r="D37" s="154"/>
      <c r="E37" s="157"/>
      <c r="F37" s="154"/>
      <c r="G37" s="154"/>
      <c r="H37" s="154"/>
      <c r="I37" s="154"/>
      <c r="J37" s="154"/>
      <c r="K37" s="154"/>
      <c r="L37" s="154"/>
      <c r="M37" s="154"/>
    </row>
    <row r="38" spans="1:13" x14ac:dyDescent="0.2">
      <c r="B38" s="154"/>
      <c r="C38" s="154"/>
      <c r="D38" s="154"/>
      <c r="E38" s="157"/>
      <c r="F38" s="154"/>
      <c r="G38" s="154"/>
      <c r="H38" s="154"/>
      <c r="I38" s="154"/>
      <c r="J38" s="154"/>
      <c r="K38" s="154"/>
      <c r="L38" s="154"/>
      <c r="M38" s="154"/>
    </row>
  </sheetData>
  <mergeCells count="4">
    <mergeCell ref="B3:D3"/>
    <mergeCell ref="F3:H3"/>
    <mergeCell ref="F4:H4"/>
    <mergeCell ref="B4:D4"/>
  </mergeCells>
  <pageMargins left="0.56999999999999995" right="0.2"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sqref="A1:AP1"/>
    </sheetView>
  </sheetViews>
  <sheetFormatPr defaultRowHeight="12.75" x14ac:dyDescent="0.2"/>
  <cols>
    <col min="1" max="1" width="5.85546875" customWidth="1"/>
    <col min="2" max="2" width="39.28515625" bestFit="1" customWidth="1"/>
    <col min="3" max="3" width="9.140625" style="126" customWidth="1"/>
    <col min="4" max="5" width="14" style="126" bestFit="1" customWidth="1"/>
    <col min="6" max="6" width="9.140625" style="126" customWidth="1"/>
    <col min="7" max="7" width="11.5703125" style="126" bestFit="1" customWidth="1"/>
    <col min="8" max="8" width="25.85546875" style="126" bestFit="1" customWidth="1"/>
    <col min="9" max="9" width="12.85546875" style="126" bestFit="1" customWidth="1"/>
    <col min="10" max="10" width="12.85546875" style="131" bestFit="1" customWidth="1"/>
    <col min="11" max="13" width="9.140625" style="131" customWidth="1"/>
  </cols>
  <sheetData>
    <row r="1" spans="1:10" x14ac:dyDescent="0.2">
      <c r="A1" t="s">
        <v>549</v>
      </c>
    </row>
    <row r="2" spans="1:10" x14ac:dyDescent="0.2">
      <c r="A2" t="s">
        <v>550</v>
      </c>
    </row>
    <row r="5" spans="1:10" x14ac:dyDescent="0.2">
      <c r="B5" s="3" t="s">
        <v>551</v>
      </c>
    </row>
    <row r="6" spans="1:10" x14ac:dyDescent="0.2">
      <c r="D6" s="637" t="s">
        <v>556</v>
      </c>
      <c r="E6" s="637"/>
      <c r="I6" s="128" t="s">
        <v>534</v>
      </c>
      <c r="J6" s="134" t="s">
        <v>556</v>
      </c>
    </row>
    <row r="7" spans="1:10" x14ac:dyDescent="0.2">
      <c r="D7" s="128" t="s">
        <v>158</v>
      </c>
      <c r="E7" s="128" t="s">
        <v>159</v>
      </c>
      <c r="H7" s="127" t="s">
        <v>565</v>
      </c>
      <c r="I7" s="127"/>
    </row>
    <row r="8" spans="1:10" x14ac:dyDescent="0.2">
      <c r="B8" s="144" t="s">
        <v>552</v>
      </c>
      <c r="C8" s="145"/>
      <c r="D8" s="145">
        <v>1858712</v>
      </c>
      <c r="E8" s="146"/>
      <c r="H8" s="129" t="s">
        <v>369</v>
      </c>
      <c r="I8" s="129"/>
    </row>
    <row r="9" spans="1:10" x14ac:dyDescent="0.2">
      <c r="B9" s="147" t="s">
        <v>553</v>
      </c>
      <c r="C9" s="130"/>
      <c r="D9" s="130">
        <v>57370</v>
      </c>
      <c r="E9" s="148"/>
      <c r="H9" s="129" t="s">
        <v>566</v>
      </c>
      <c r="I9" s="135">
        <f>'Conso C adjs'!G182</f>
        <v>0</v>
      </c>
      <c r="J9" s="136">
        <v>3711031</v>
      </c>
    </row>
    <row r="10" spans="1:10" x14ac:dyDescent="0.2">
      <c r="B10" s="147"/>
      <c r="C10" s="130"/>
      <c r="D10" s="130"/>
      <c r="E10" s="148"/>
      <c r="H10" s="129" t="s">
        <v>567</v>
      </c>
      <c r="I10" s="137">
        <f>'Conso C adjs'!G184+'C-BS'!D121</f>
        <v>0</v>
      </c>
      <c r="J10" s="138">
        <v>23553</v>
      </c>
    </row>
    <row r="11" spans="1:10" x14ac:dyDescent="0.2">
      <c r="B11" s="149" t="s">
        <v>554</v>
      </c>
      <c r="C11" s="130"/>
      <c r="D11" s="130">
        <v>1484905.82</v>
      </c>
      <c r="E11" s="148"/>
      <c r="H11" s="129" t="s">
        <v>568</v>
      </c>
      <c r="I11" s="137">
        <v>0</v>
      </c>
      <c r="J11" s="138">
        <v>1000</v>
      </c>
    </row>
    <row r="12" spans="1:10" x14ac:dyDescent="0.2">
      <c r="B12" s="150" t="s">
        <v>555</v>
      </c>
      <c r="C12" s="151"/>
      <c r="D12" s="151"/>
      <c r="E12" s="152">
        <v>21852.720000000001</v>
      </c>
      <c r="H12" s="129" t="s">
        <v>32</v>
      </c>
      <c r="I12" s="137">
        <v>0</v>
      </c>
      <c r="J12" s="138">
        <v>52663</v>
      </c>
    </row>
    <row r="13" spans="1:10" x14ac:dyDescent="0.2">
      <c r="H13" s="129" t="s">
        <v>569</v>
      </c>
      <c r="I13" s="139">
        <f>'Conso C adjs'!G185</f>
        <v>0</v>
      </c>
      <c r="J13" s="140">
        <v>86314</v>
      </c>
    </row>
    <row r="14" spans="1:10" x14ac:dyDescent="0.2">
      <c r="D14" s="130"/>
      <c r="E14" s="130"/>
      <c r="H14" s="129"/>
      <c r="I14" s="129"/>
      <c r="J14" s="132"/>
    </row>
    <row r="15" spans="1:10" x14ac:dyDescent="0.2">
      <c r="A15" s="8" t="s">
        <v>563</v>
      </c>
      <c r="B15" s="7" t="s">
        <v>557</v>
      </c>
      <c r="D15" s="126">
        <v>8000000</v>
      </c>
      <c r="I15" s="126">
        <f>SUM(I9:I14)</f>
        <v>0</v>
      </c>
      <c r="J15" s="131">
        <f>SUM(J9:J14)</f>
        <v>3874561</v>
      </c>
    </row>
    <row r="16" spans="1:10" x14ac:dyDescent="0.2">
      <c r="B16" s="7" t="s">
        <v>558</v>
      </c>
      <c r="D16" s="126">
        <v>3000000</v>
      </c>
      <c r="H16" s="129" t="s">
        <v>370</v>
      </c>
      <c r="I16" s="129"/>
    </row>
    <row r="17" spans="2:10" x14ac:dyDescent="0.2">
      <c r="B17" s="7" t="s">
        <v>555</v>
      </c>
      <c r="D17" s="126">
        <v>21852.720000000001</v>
      </c>
      <c r="H17" s="129" t="s">
        <v>13</v>
      </c>
      <c r="I17" s="129">
        <f>'Conso C adjs'!F187</f>
        <v>0</v>
      </c>
      <c r="J17" s="131">
        <v>2132453</v>
      </c>
    </row>
    <row r="19" spans="2:10" x14ac:dyDescent="0.2">
      <c r="B19" s="7" t="s">
        <v>559</v>
      </c>
      <c r="E19" s="126">
        <v>1858712</v>
      </c>
      <c r="H19" s="129" t="s">
        <v>371</v>
      </c>
      <c r="I19" s="133">
        <f>I15-I17</f>
        <v>0</v>
      </c>
      <c r="J19" s="133">
        <f>J15-J17</f>
        <v>1742108</v>
      </c>
    </row>
    <row r="20" spans="2:10" x14ac:dyDescent="0.2">
      <c r="B20" s="7" t="s">
        <v>560</v>
      </c>
      <c r="E20" s="126">
        <v>57370</v>
      </c>
    </row>
    <row r="21" spans="2:10" x14ac:dyDescent="0.2">
      <c r="B21" s="7" t="s">
        <v>561</v>
      </c>
      <c r="E21" s="126">
        <v>1484905.82</v>
      </c>
    </row>
    <row r="22" spans="2:10" x14ac:dyDescent="0.2">
      <c r="B22" s="7" t="s">
        <v>562</v>
      </c>
      <c r="E22" s="143">
        <f>D15+D16+D17-E19-E20-E21</f>
        <v>7620864.9000000004</v>
      </c>
    </row>
    <row r="23" spans="2:10" x14ac:dyDescent="0.2">
      <c r="H23" s="127" t="s">
        <v>570</v>
      </c>
      <c r="I23" s="127"/>
    </row>
    <row r="24" spans="2:10" x14ac:dyDescent="0.2">
      <c r="D24" s="126">
        <f>SUM(D15:D23)</f>
        <v>11021852.720000001</v>
      </c>
      <c r="E24" s="126">
        <f>SUM(E15:E23)</f>
        <v>11021852.720000001</v>
      </c>
      <c r="H24" s="129" t="s">
        <v>571</v>
      </c>
      <c r="I24" s="135">
        <f>'Conso C adjs'!G195</f>
        <v>0</v>
      </c>
      <c r="J24" s="136">
        <v>1535182</v>
      </c>
    </row>
    <row r="25" spans="2:10" x14ac:dyDescent="0.2">
      <c r="H25" s="129" t="s">
        <v>567</v>
      </c>
      <c r="I25" s="137">
        <f>'Conso C adjs'!G196</f>
        <v>0</v>
      </c>
      <c r="J25" s="138">
        <v>4942</v>
      </c>
    </row>
    <row r="26" spans="2:10" x14ac:dyDescent="0.2">
      <c r="H26" s="129" t="s">
        <v>568</v>
      </c>
      <c r="I26" s="137">
        <v>0</v>
      </c>
      <c r="J26" s="138">
        <v>2024</v>
      </c>
    </row>
    <row r="27" spans="2:10" x14ac:dyDescent="0.2">
      <c r="B27" s="3" t="s">
        <v>564</v>
      </c>
      <c r="H27" s="129" t="s">
        <v>547</v>
      </c>
      <c r="I27" s="139">
        <v>0</v>
      </c>
      <c r="J27" s="140">
        <v>45304</v>
      </c>
    </row>
    <row r="29" spans="2:10" x14ac:dyDescent="0.2">
      <c r="B29" s="141" t="s">
        <v>572</v>
      </c>
      <c r="C29" s="129"/>
      <c r="D29" s="129">
        <f>'Conso C adjs'!G189</f>
        <v>0</v>
      </c>
      <c r="E29" s="129"/>
      <c r="I29" s="131">
        <f>SUM(I24:I28)</f>
        <v>0</v>
      </c>
      <c r="J29" s="131">
        <f>SUM(J24:J28)</f>
        <v>1587452</v>
      </c>
    </row>
    <row r="30" spans="2:10" x14ac:dyDescent="0.2">
      <c r="B30" s="141" t="s">
        <v>573</v>
      </c>
      <c r="C30" s="129"/>
      <c r="D30" s="129">
        <f>'Conso C adjs'!G199</f>
        <v>0</v>
      </c>
      <c r="E30" s="129"/>
    </row>
    <row r="31" spans="2:10" x14ac:dyDescent="0.2">
      <c r="B31" s="141" t="s">
        <v>576</v>
      </c>
      <c r="C31" s="129"/>
      <c r="D31" s="129">
        <f>E21</f>
        <v>1484905.82</v>
      </c>
      <c r="E31" s="129"/>
      <c r="H31" s="129" t="s">
        <v>370</v>
      </c>
      <c r="I31" s="129"/>
    </row>
    <row r="32" spans="2:10" x14ac:dyDescent="0.2">
      <c r="B32" s="141" t="s">
        <v>574</v>
      </c>
      <c r="C32" s="129"/>
      <c r="D32" s="129"/>
      <c r="E32" s="129">
        <f>'Conso C adjs'!F181</f>
        <v>0</v>
      </c>
      <c r="H32" s="129" t="s">
        <v>13</v>
      </c>
      <c r="I32" s="129">
        <f>1439658+'C-BS'!E273</f>
        <v>1439658</v>
      </c>
      <c r="J32" s="131">
        <v>1499156</v>
      </c>
    </row>
    <row r="33" spans="2:10" x14ac:dyDescent="0.2">
      <c r="B33" s="141" t="s">
        <v>577</v>
      </c>
      <c r="C33" s="129"/>
      <c r="D33" s="129"/>
      <c r="E33" s="129">
        <f>D17</f>
        <v>21852.720000000001</v>
      </c>
    </row>
    <row r="34" spans="2:10" x14ac:dyDescent="0.2">
      <c r="B34" s="141" t="s">
        <v>575</v>
      </c>
      <c r="C34" s="129"/>
      <c r="D34" s="129"/>
      <c r="E34" s="129">
        <f>'Conso C adjs'!F194</f>
        <v>0</v>
      </c>
      <c r="H34" s="129" t="s">
        <v>371</v>
      </c>
      <c r="I34" s="133">
        <f>I29-I32</f>
        <v>-1439658</v>
      </c>
      <c r="J34" s="133">
        <f>J29-J32</f>
        <v>88296</v>
      </c>
    </row>
    <row r="35" spans="2:10" x14ac:dyDescent="0.2">
      <c r="B35" s="141" t="s">
        <v>578</v>
      </c>
      <c r="C35" s="129"/>
      <c r="D35" s="142">
        <f>E34+E33+E32-D31-D30-D29</f>
        <v>-1463053.1</v>
      </c>
      <c r="E35" s="129"/>
    </row>
    <row r="36" spans="2:10" x14ac:dyDescent="0.2">
      <c r="B36" s="7"/>
      <c r="C36" s="129"/>
      <c r="D36" s="129"/>
      <c r="E36" s="129"/>
    </row>
    <row r="37" spans="2:10" x14ac:dyDescent="0.2">
      <c r="D37" s="126">
        <f>SUM(D29:D36)</f>
        <v>21852.719999999972</v>
      </c>
      <c r="E37" s="126">
        <f>SUM(E29:E36)</f>
        <v>21852.720000000001</v>
      </c>
    </row>
    <row r="38" spans="2:10" x14ac:dyDescent="0.2">
      <c r="D38" s="126">
        <f>D37-E37</f>
        <v>-2.9103830456733704E-11</v>
      </c>
    </row>
    <row r="39" spans="2:10" x14ac:dyDescent="0.2">
      <c r="B39" s="7" t="s">
        <v>579</v>
      </c>
      <c r="D39" s="126">
        <f>E22-D35</f>
        <v>9083918</v>
      </c>
    </row>
  </sheetData>
  <mergeCells count="1">
    <mergeCell ref="D6:E6"/>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36"/>
  <sheetViews>
    <sheetView workbookViewId="0"/>
  </sheetViews>
  <sheetFormatPr defaultRowHeight="12.75" x14ac:dyDescent="0.2"/>
  <cols>
    <col min="2" max="2" width="13.28515625" bestFit="1" customWidth="1"/>
    <col min="3" max="3" width="9.85546875" bestFit="1" customWidth="1"/>
    <col min="4" max="4" width="12.7109375" bestFit="1" customWidth="1"/>
    <col min="5" max="5" width="16" bestFit="1" customWidth="1"/>
    <col min="6" max="7" width="12" bestFit="1" customWidth="1"/>
    <col min="9" max="10" width="12" bestFit="1" customWidth="1"/>
  </cols>
  <sheetData>
    <row r="4" spans="2:10" x14ac:dyDescent="0.2">
      <c r="B4" s="47"/>
      <c r="C4" s="47"/>
      <c r="D4" s="47"/>
      <c r="E4" s="47"/>
      <c r="F4" s="47"/>
      <c r="G4" s="46"/>
      <c r="H4" s="46"/>
      <c r="I4" s="77" t="s">
        <v>373</v>
      </c>
      <c r="J4" s="76" t="s">
        <v>62</v>
      </c>
    </row>
    <row r="5" spans="2:10" x14ac:dyDescent="0.2">
      <c r="B5" s="47"/>
      <c r="C5" s="47"/>
      <c r="D5" s="47"/>
      <c r="E5" s="47"/>
      <c r="F5" s="47"/>
      <c r="G5" s="46"/>
      <c r="H5" s="46"/>
      <c r="I5" s="77" t="s">
        <v>372</v>
      </c>
      <c r="J5" s="76" t="s">
        <v>374</v>
      </c>
    </row>
    <row r="6" spans="2:10" x14ac:dyDescent="0.2">
      <c r="B6" s="47"/>
      <c r="C6" s="86" t="s">
        <v>369</v>
      </c>
      <c r="D6" s="86" t="s">
        <v>370</v>
      </c>
      <c r="E6" s="86" t="s">
        <v>371</v>
      </c>
      <c r="F6" s="87" t="s">
        <v>338</v>
      </c>
      <c r="G6" s="86" t="s">
        <v>336</v>
      </c>
      <c r="H6" s="46"/>
      <c r="I6" s="76"/>
      <c r="J6" s="76"/>
    </row>
    <row r="7" spans="2:10" x14ac:dyDescent="0.2">
      <c r="B7" s="76" t="s">
        <v>160</v>
      </c>
      <c r="C7" s="47">
        <v>7130639</v>
      </c>
      <c r="D7" s="47">
        <v>3000</v>
      </c>
      <c r="E7" s="47">
        <f>C7-D7</f>
        <v>7127639</v>
      </c>
      <c r="F7" s="47">
        <v>7995101</v>
      </c>
      <c r="G7" s="56">
        <f>F7-E7</f>
        <v>867462</v>
      </c>
      <c r="H7" s="46"/>
      <c r="I7" s="76">
        <v>7274873.3499999996</v>
      </c>
      <c r="J7" s="76">
        <v>13454851.449999999</v>
      </c>
    </row>
    <row r="8" spans="2:10" x14ac:dyDescent="0.2">
      <c r="B8" s="76" t="s">
        <v>162</v>
      </c>
      <c r="C8" s="47">
        <v>2355760</v>
      </c>
      <c r="D8" s="47">
        <v>3000</v>
      </c>
      <c r="E8" s="47">
        <f>C8-D8</f>
        <v>2352760</v>
      </c>
      <c r="F8" s="47">
        <v>2262895</v>
      </c>
      <c r="G8" s="56">
        <f>F8-E8</f>
        <v>-89865</v>
      </c>
      <c r="H8" s="46"/>
      <c r="I8" s="76">
        <v>2395803.7999999998</v>
      </c>
      <c r="J8" s="76">
        <v>1000000</v>
      </c>
    </row>
    <row r="9" spans="2:10" x14ac:dyDescent="0.2">
      <c r="B9" s="76" t="s">
        <v>164</v>
      </c>
      <c r="C9" s="47">
        <v>2350373</v>
      </c>
      <c r="D9" s="47">
        <v>3000</v>
      </c>
      <c r="E9" s="47">
        <f>C9-D9</f>
        <v>2347373</v>
      </c>
      <c r="F9" s="47">
        <v>2309895</v>
      </c>
      <c r="G9" s="56">
        <f>F9-E9</f>
        <v>-37478</v>
      </c>
      <c r="H9" s="46"/>
      <c r="I9" s="76">
        <v>2445785.6</v>
      </c>
      <c r="J9" s="76"/>
    </row>
    <row r="10" spans="2:10" x14ac:dyDescent="0.2">
      <c r="B10" s="76" t="s">
        <v>161</v>
      </c>
      <c r="C10" s="47">
        <v>5294845</v>
      </c>
      <c r="D10" s="47">
        <v>3000</v>
      </c>
      <c r="E10" s="47">
        <f>C10-D10</f>
        <v>5291845</v>
      </c>
      <c r="F10" s="47">
        <v>5838951</v>
      </c>
      <c r="G10" s="56">
        <f>F10-E10</f>
        <v>547106</v>
      </c>
      <c r="H10" s="46"/>
      <c r="I10" s="76">
        <v>5315960.3</v>
      </c>
      <c r="J10" s="76"/>
    </row>
    <row r="11" spans="2:10" x14ac:dyDescent="0.2">
      <c r="B11" s="76" t="s">
        <v>163</v>
      </c>
      <c r="C11" s="47">
        <v>198399</v>
      </c>
      <c r="D11" s="47">
        <v>3000</v>
      </c>
      <c r="E11" s="47">
        <f>C11-D11</f>
        <v>195399</v>
      </c>
      <c r="F11" s="47">
        <v>273210</v>
      </c>
      <c r="G11" s="56">
        <f>F11-E11</f>
        <v>77811</v>
      </c>
      <c r="H11" s="46"/>
      <c r="I11" s="76">
        <v>273207.8</v>
      </c>
      <c r="J11" s="76"/>
    </row>
    <row r="12" spans="2:10" x14ac:dyDescent="0.2">
      <c r="B12" s="47"/>
      <c r="C12" s="47"/>
      <c r="D12" s="47"/>
      <c r="E12" s="47"/>
      <c r="F12" s="47"/>
      <c r="G12" s="46"/>
      <c r="H12" s="46"/>
      <c r="I12" s="76"/>
      <c r="J12" s="76"/>
    </row>
    <row r="13" spans="2:10" x14ac:dyDescent="0.2">
      <c r="B13" s="47"/>
      <c r="C13" s="47">
        <f>SUM(C7:C12)</f>
        <v>17330016</v>
      </c>
      <c r="D13" s="47">
        <f>SUM(D7:D12)</f>
        <v>15000</v>
      </c>
      <c r="E13" s="47">
        <f>SUM(E7:E12)</f>
        <v>17315016</v>
      </c>
      <c r="F13" s="47">
        <f>SUM(F7:F12)</f>
        <v>18680052</v>
      </c>
      <c r="G13" s="47">
        <f>SUM(G7:G12)</f>
        <v>1365036</v>
      </c>
      <c r="H13" s="46"/>
      <c r="I13" s="76">
        <f>SUM(I7:I12)</f>
        <v>17705630.849999998</v>
      </c>
      <c r="J13" s="76">
        <f>SUM(J7:J12)</f>
        <v>14454851.449999999</v>
      </c>
    </row>
    <row r="14" spans="2:10" x14ac:dyDescent="0.2">
      <c r="B14" s="47"/>
      <c r="C14" s="47"/>
      <c r="D14" s="47"/>
      <c r="E14" s="47"/>
      <c r="F14" s="47"/>
      <c r="G14" s="56"/>
      <c r="H14" s="46"/>
      <c r="I14" s="76"/>
      <c r="J14" s="76">
        <v>4225200.55</v>
      </c>
    </row>
    <row r="15" spans="2:10" x14ac:dyDescent="0.2">
      <c r="B15" s="47"/>
      <c r="C15" s="47"/>
      <c r="D15" s="47"/>
      <c r="E15" s="47"/>
      <c r="F15" s="47"/>
      <c r="G15" s="46"/>
      <c r="H15" s="46"/>
      <c r="I15" s="76"/>
      <c r="J15" s="76">
        <f>SUM(J13:J14)</f>
        <v>18680052</v>
      </c>
    </row>
    <row r="16" spans="2:10" x14ac:dyDescent="0.2">
      <c r="B16" s="47"/>
      <c r="C16" s="47"/>
      <c r="D16" s="47"/>
      <c r="E16" s="47"/>
      <c r="F16" s="47"/>
      <c r="G16" s="46"/>
      <c r="H16" s="46"/>
      <c r="I16" s="76"/>
      <c r="J16" s="76"/>
    </row>
    <row r="17" spans="2:10" x14ac:dyDescent="0.2">
      <c r="B17" s="47"/>
      <c r="C17" s="47" t="s">
        <v>379</v>
      </c>
      <c r="D17" s="47"/>
      <c r="E17" s="47"/>
      <c r="F17" s="47"/>
      <c r="G17" s="46"/>
      <c r="H17" s="46"/>
      <c r="I17" s="76"/>
      <c r="J17" s="76"/>
    </row>
    <row r="18" spans="2:10" x14ac:dyDescent="0.2">
      <c r="B18" s="47"/>
      <c r="C18" s="47" t="s">
        <v>373</v>
      </c>
      <c r="D18" s="47" t="s">
        <v>375</v>
      </c>
      <c r="E18" s="76"/>
      <c r="F18" s="76">
        <f>J14</f>
        <v>4225200.55</v>
      </c>
      <c r="G18" s="76"/>
      <c r="H18" s="76"/>
      <c r="I18" s="76"/>
      <c r="J18" s="76"/>
    </row>
    <row r="19" spans="2:10" x14ac:dyDescent="0.2">
      <c r="B19" s="47"/>
      <c r="C19" s="47" t="s">
        <v>373</v>
      </c>
      <c r="D19" s="47" t="s">
        <v>13</v>
      </c>
      <c r="E19" s="76"/>
      <c r="F19" s="76">
        <f>J13</f>
        <v>14454851.449999999</v>
      </c>
      <c r="G19" s="76"/>
      <c r="H19" s="76"/>
      <c r="I19" s="76"/>
      <c r="J19" s="76"/>
    </row>
    <row r="20" spans="2:10" x14ac:dyDescent="0.2">
      <c r="B20" s="47"/>
      <c r="C20" s="47"/>
      <c r="D20" s="47"/>
      <c r="E20" s="76"/>
      <c r="F20" s="76"/>
      <c r="G20" s="76"/>
      <c r="H20" s="76"/>
      <c r="I20" s="76"/>
      <c r="J20" s="76"/>
    </row>
    <row r="21" spans="2:10" x14ac:dyDescent="0.2">
      <c r="B21" s="47"/>
      <c r="C21" s="47" t="s">
        <v>376</v>
      </c>
      <c r="D21" s="47"/>
      <c r="E21" s="76" t="s">
        <v>377</v>
      </c>
      <c r="F21" s="76"/>
      <c r="G21" s="76">
        <f>I13</f>
        <v>17705630.849999998</v>
      </c>
      <c r="H21" s="76"/>
      <c r="I21" s="76"/>
      <c r="J21" s="76"/>
    </row>
    <row r="22" spans="2:10" x14ac:dyDescent="0.2">
      <c r="B22" s="47"/>
      <c r="C22" s="47" t="s">
        <v>376</v>
      </c>
      <c r="D22" s="47"/>
      <c r="E22" s="76" t="s">
        <v>336</v>
      </c>
      <c r="F22" s="76"/>
      <c r="G22" s="76">
        <f>F18+F19-G21-G23</f>
        <v>974411.15000000224</v>
      </c>
      <c r="H22" s="76"/>
      <c r="I22" s="76">
        <f>F18+F19-G21</f>
        <v>974421.15000000224</v>
      </c>
      <c r="J22" s="76"/>
    </row>
    <row r="23" spans="2:10" x14ac:dyDescent="0.2">
      <c r="B23" s="47"/>
      <c r="C23" s="47" t="s">
        <v>376</v>
      </c>
      <c r="D23" s="47"/>
      <c r="E23" s="76" t="s">
        <v>378</v>
      </c>
      <c r="F23" s="76"/>
      <c r="G23" s="76">
        <v>10</v>
      </c>
      <c r="H23" s="76"/>
      <c r="I23" s="76">
        <f>G23</f>
        <v>10</v>
      </c>
      <c r="J23" s="76"/>
    </row>
    <row r="24" spans="2:10" x14ac:dyDescent="0.2">
      <c r="B24" s="47"/>
      <c r="C24" s="47"/>
      <c r="D24" s="47"/>
      <c r="E24" s="76"/>
      <c r="F24" s="76"/>
      <c r="G24" s="76"/>
      <c r="H24" s="76"/>
      <c r="I24" s="76"/>
      <c r="J24" s="76"/>
    </row>
    <row r="25" spans="2:10" x14ac:dyDescent="0.2">
      <c r="B25" s="47"/>
      <c r="C25" s="47"/>
      <c r="D25" s="47"/>
      <c r="E25" s="76"/>
      <c r="F25" s="76">
        <f>SUM(F18:F24)</f>
        <v>18680052</v>
      </c>
      <c r="G25" s="76">
        <f>SUM(G18:G24)</f>
        <v>18680052</v>
      </c>
      <c r="H25" s="76"/>
      <c r="I25" s="76">
        <f>I22-I23</f>
        <v>974411.15000000224</v>
      </c>
      <c r="J25" s="76"/>
    </row>
    <row r="26" spans="2:10" x14ac:dyDescent="0.2">
      <c r="B26" s="47"/>
      <c r="C26" s="47"/>
      <c r="D26" s="47"/>
      <c r="E26" s="76"/>
      <c r="F26" s="76"/>
      <c r="G26" s="76"/>
      <c r="H26" s="76"/>
      <c r="I26" s="76"/>
      <c r="J26" s="76"/>
    </row>
    <row r="27" spans="2:10" x14ac:dyDescent="0.2">
      <c r="B27" s="47"/>
      <c r="C27" s="47"/>
      <c r="D27" s="47"/>
      <c r="E27" s="76"/>
      <c r="F27" s="76"/>
      <c r="G27" s="80" t="s">
        <v>387</v>
      </c>
      <c r="H27" s="76"/>
      <c r="I27" s="76"/>
      <c r="J27" s="76"/>
    </row>
    <row r="28" spans="2:10" x14ac:dyDescent="0.2">
      <c r="B28" s="47"/>
      <c r="C28" s="47"/>
      <c r="D28" s="47"/>
      <c r="E28" s="76"/>
      <c r="F28" s="76"/>
      <c r="G28" s="76">
        <v>1344083</v>
      </c>
      <c r="H28" s="76"/>
      <c r="I28" s="76">
        <f>-F30</f>
        <v>0</v>
      </c>
      <c r="J28" s="76"/>
    </row>
    <row r="29" spans="2:10" x14ac:dyDescent="0.2">
      <c r="B29" s="47"/>
      <c r="C29" s="47"/>
      <c r="D29" s="47"/>
      <c r="E29" s="47" t="s">
        <v>6</v>
      </c>
      <c r="F29" s="47"/>
      <c r="G29" s="78">
        <f>G28-G22</f>
        <v>369671.84999999776</v>
      </c>
      <c r="H29" s="46"/>
      <c r="I29" s="76"/>
      <c r="J29" s="76"/>
    </row>
    <row r="30" spans="2:10" x14ac:dyDescent="0.2">
      <c r="B30" s="47"/>
      <c r="C30" s="47"/>
      <c r="D30" s="47"/>
      <c r="E30" s="47">
        <v>147186</v>
      </c>
      <c r="F30" s="47"/>
      <c r="H30" s="46"/>
      <c r="I30" s="76"/>
      <c r="J30" s="76"/>
    </row>
    <row r="31" spans="2:10" x14ac:dyDescent="0.2">
      <c r="B31" s="47"/>
      <c r="C31" s="47"/>
      <c r="D31" s="47"/>
      <c r="E31" s="47">
        <v>42996</v>
      </c>
      <c r="F31" s="47"/>
      <c r="G31" s="46"/>
      <c r="H31" s="46"/>
      <c r="I31" s="76">
        <f>SUM(I25:I30)</f>
        <v>974411.15000000224</v>
      </c>
      <c r="J31" s="76"/>
    </row>
    <row r="32" spans="2:10" x14ac:dyDescent="0.2">
      <c r="B32" s="47"/>
      <c r="C32" s="47"/>
      <c r="D32" s="47"/>
      <c r="E32" s="47">
        <v>98364</v>
      </c>
      <c r="F32" s="47"/>
      <c r="G32" s="46"/>
      <c r="H32" s="46"/>
      <c r="I32" s="76"/>
      <c r="J32" s="76"/>
    </row>
    <row r="33" spans="2:10" x14ac:dyDescent="0.2">
      <c r="B33" s="47"/>
      <c r="C33" s="47"/>
      <c r="D33" s="47"/>
      <c r="E33" s="47">
        <v>24057</v>
      </c>
      <c r="F33" s="47"/>
      <c r="G33" s="46"/>
      <c r="H33" s="46"/>
      <c r="I33" s="76"/>
      <c r="J33" s="76"/>
    </row>
    <row r="34" spans="2:10" x14ac:dyDescent="0.2">
      <c r="B34" s="47"/>
      <c r="C34" s="47"/>
      <c r="D34" s="47"/>
      <c r="E34" s="47">
        <v>77760</v>
      </c>
      <c r="F34" s="47"/>
      <c r="G34" s="46"/>
      <c r="H34" s="46"/>
      <c r="I34" s="76"/>
      <c r="J34" s="76"/>
    </row>
    <row r="35" spans="2:10" x14ac:dyDescent="0.2">
      <c r="B35" s="47"/>
      <c r="C35" s="47"/>
      <c r="D35" s="47"/>
      <c r="E35" s="47">
        <f>SUM(E30:E34)</f>
        <v>390363</v>
      </c>
      <c r="F35" s="47"/>
      <c r="G35" s="46"/>
      <c r="H35" s="46"/>
      <c r="I35" s="76"/>
      <c r="J35" s="76"/>
    </row>
    <row r="36" spans="2:10" x14ac:dyDescent="0.2">
      <c r="B36" s="47"/>
      <c r="C36" s="47"/>
      <c r="D36" s="47"/>
      <c r="E36" s="47"/>
      <c r="F36" s="47">
        <f>G22+E35</f>
        <v>1364774.1500000022</v>
      </c>
      <c r="G36" s="46"/>
      <c r="H36" s="46"/>
      <c r="I36" s="76"/>
      <c r="J36" s="76"/>
    </row>
  </sheetData>
  <phoneticPr fontId="24"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
  <sheetViews>
    <sheetView workbookViewId="0"/>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x14ac:dyDescent="0.2">
      <c r="B1" s="292" t="s">
        <v>940</v>
      </c>
      <c r="C1" s="293"/>
      <c r="D1" s="303"/>
      <c r="E1" s="303"/>
    </row>
    <row r="2" spans="2:5" x14ac:dyDescent="0.2">
      <c r="B2" s="292" t="s">
        <v>941</v>
      </c>
      <c r="C2" s="293"/>
      <c r="D2" s="303"/>
      <c r="E2" s="303"/>
    </row>
    <row r="3" spans="2:5" x14ac:dyDescent="0.2">
      <c r="B3" s="294"/>
      <c r="C3" s="294"/>
      <c r="D3" s="304"/>
      <c r="E3" s="304"/>
    </row>
    <row r="4" spans="2:5" ht="38.25" x14ac:dyDescent="0.2">
      <c r="B4" s="295" t="s">
        <v>942</v>
      </c>
      <c r="C4" s="294"/>
      <c r="D4" s="304"/>
      <c r="E4" s="304"/>
    </row>
    <row r="5" spans="2:5" x14ac:dyDescent="0.2">
      <c r="B5" s="294"/>
      <c r="C5" s="294"/>
      <c r="D5" s="304"/>
      <c r="E5" s="304"/>
    </row>
    <row r="6" spans="2:5" ht="25.5" x14ac:dyDescent="0.2">
      <c r="B6" s="292" t="s">
        <v>943</v>
      </c>
      <c r="C6" s="293"/>
      <c r="D6" s="303"/>
      <c r="E6" s="305" t="s">
        <v>944</v>
      </c>
    </row>
    <row r="7" spans="2:5" ht="13.5" thickBot="1" x14ac:dyDescent="0.25">
      <c r="B7" s="294"/>
      <c r="C7" s="294"/>
      <c r="D7" s="304"/>
      <c r="E7" s="304"/>
    </row>
    <row r="8" spans="2:5" ht="51" x14ac:dyDescent="0.2">
      <c r="B8" s="296" t="s">
        <v>945</v>
      </c>
      <c r="C8" s="297"/>
      <c r="D8" s="306"/>
      <c r="E8" s="307">
        <v>18</v>
      </c>
    </row>
    <row r="9" spans="2:5" x14ac:dyDescent="0.2">
      <c r="B9" s="298"/>
      <c r="C9" s="294"/>
      <c r="D9" s="304"/>
      <c r="E9" s="308" t="s">
        <v>946</v>
      </c>
    </row>
    <row r="10" spans="2:5" ht="38.25" x14ac:dyDescent="0.2">
      <c r="B10" s="298"/>
      <c r="C10" s="294"/>
      <c r="D10" s="304"/>
      <c r="E10" s="308" t="s">
        <v>947</v>
      </c>
    </row>
    <row r="11" spans="2:5" x14ac:dyDescent="0.2">
      <c r="B11" s="298"/>
      <c r="C11" s="294"/>
      <c r="D11" s="304"/>
      <c r="E11" s="308" t="s">
        <v>948</v>
      </c>
    </row>
    <row r="12" spans="2:5" x14ac:dyDescent="0.2">
      <c r="B12" s="298"/>
      <c r="C12" s="294"/>
      <c r="D12" s="304"/>
      <c r="E12" s="308" t="s">
        <v>949</v>
      </c>
    </row>
    <row r="13" spans="2:5" ht="38.25" x14ac:dyDescent="0.2">
      <c r="B13" s="298"/>
      <c r="C13" s="294"/>
      <c r="D13" s="304"/>
      <c r="E13" s="308" t="s">
        <v>950</v>
      </c>
    </row>
    <row r="14" spans="2:5" ht="38.25" x14ac:dyDescent="0.2">
      <c r="B14" s="298"/>
      <c r="C14" s="294"/>
      <c r="D14" s="304"/>
      <c r="E14" s="308" t="s">
        <v>951</v>
      </c>
    </row>
    <row r="15" spans="2:5" ht="38.25" x14ac:dyDescent="0.2">
      <c r="B15" s="298"/>
      <c r="C15" s="294"/>
      <c r="D15" s="304"/>
      <c r="E15" s="308" t="s">
        <v>952</v>
      </c>
    </row>
    <row r="16" spans="2:5" ht="38.25" x14ac:dyDescent="0.2">
      <c r="B16" s="298"/>
      <c r="C16" s="294"/>
      <c r="D16" s="304"/>
      <c r="E16" s="308" t="s">
        <v>953</v>
      </c>
    </row>
    <row r="17" spans="2:5" ht="38.25" x14ac:dyDescent="0.2">
      <c r="B17" s="298"/>
      <c r="C17" s="294"/>
      <c r="D17" s="304"/>
      <c r="E17" s="308" t="s">
        <v>954</v>
      </c>
    </row>
    <row r="18" spans="2:5" ht="38.25" x14ac:dyDescent="0.2">
      <c r="B18" s="298"/>
      <c r="C18" s="294"/>
      <c r="D18" s="304"/>
      <c r="E18" s="308" t="s">
        <v>955</v>
      </c>
    </row>
    <row r="19" spans="2:5" ht="38.25" x14ac:dyDescent="0.2">
      <c r="B19" s="298"/>
      <c r="C19" s="294"/>
      <c r="D19" s="304"/>
      <c r="E19" s="308" t="s">
        <v>956</v>
      </c>
    </row>
    <row r="20" spans="2:5" ht="38.25" x14ac:dyDescent="0.2">
      <c r="B20" s="298"/>
      <c r="C20" s="294"/>
      <c r="D20" s="304"/>
      <c r="E20" s="308" t="s">
        <v>957</v>
      </c>
    </row>
    <row r="21" spans="2:5" ht="39" thickBot="1" x14ac:dyDescent="0.25">
      <c r="B21" s="299"/>
      <c r="C21" s="300"/>
      <c r="D21" s="309"/>
      <c r="E21" s="310" t="s">
        <v>958</v>
      </c>
    </row>
    <row r="22" spans="2:5" ht="13.5" thickBot="1" x14ac:dyDescent="0.25">
      <c r="B22" s="294"/>
      <c r="C22" s="294"/>
      <c r="D22" s="304"/>
      <c r="E22" s="304"/>
    </row>
    <row r="23" spans="2:5" ht="39" thickBot="1" x14ac:dyDescent="0.25">
      <c r="B23" s="301" t="s">
        <v>959</v>
      </c>
      <c r="C23" s="302"/>
      <c r="D23" s="311"/>
      <c r="E23" s="312">
        <v>21</v>
      </c>
    </row>
    <row r="24" spans="2:5" x14ac:dyDescent="0.2">
      <c r="B24" s="294"/>
      <c r="C24" s="294"/>
      <c r="D24" s="304"/>
      <c r="E24" s="304"/>
    </row>
    <row r="25" spans="2:5" x14ac:dyDescent="0.2">
      <c r="B25" s="294"/>
      <c r="C25" s="294"/>
      <c r="D25" s="304"/>
      <c r="E25" s="304"/>
    </row>
  </sheetData>
  <hyperlinks>
    <hyperlink ref="E9" location="'Sheet1'!AL18" display="'Sheet1'!AL18"/>
    <hyperlink ref="E10" location="'Sheet1'!AM24:AM25" display="'Sheet1'!AM24:AM25"/>
    <hyperlink ref="E11" location="'Sheet1'!AM28" display="'Sheet1'!AM28"/>
    <hyperlink ref="E12" location="'Sheet1'!AM39" display="'Sheet1'!AM39"/>
    <hyperlink ref="E13" location="'Group IS 2014 with audit adjust'!B35:B37" display="'Group IS 2014 with audit adjust'!B35:B37"/>
    <hyperlink ref="E14" location="'Group IS 2013 with audit adjust'!B6" display="'Group IS 2013 with audit adjust'!B6"/>
    <hyperlink ref="E15" location="'Group IS 2013 with audit adjust'!B8" display="'Group IS 2013 with audit adjust'!B8"/>
    <hyperlink ref="E16" location="'Group IS 2013 with audit adjust'!B11" display="'Group IS 2013 with audit adjust'!B11"/>
    <hyperlink ref="E17" location="'Group IS 2013 with audit adjust'!B13" display="'Group IS 2013 with audit adjust'!B13"/>
    <hyperlink ref="E18" location="'Group IS 2013 with audit adjust'!B15" display="'Group IS 2013 with audit adjust'!B15"/>
    <hyperlink ref="E19" location="'Group IS 2013 with audit adjust'!B23" display="'Group IS 2013 with audit adjust'!B23"/>
    <hyperlink ref="E20" location="'Group IS 2013 with audit adjust'!B29" display="'Group IS 2013 with audit adjust'!B29"/>
    <hyperlink ref="E21" location="'Group IS 2013 with audit adjust'!B35:B37" display="'Group IS 2013 with audit adjust'!B35:B3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workbookViewId="0">
      <selection sqref="A1:AP1"/>
    </sheetView>
  </sheetViews>
  <sheetFormatPr defaultRowHeight="11.25" outlineLevelRow="1" outlineLevelCol="1" x14ac:dyDescent="0.2"/>
  <cols>
    <col min="1" max="1" width="23" style="30" customWidth="1"/>
    <col min="2" max="2" width="9.5703125" style="31" customWidth="1"/>
    <col min="3" max="3" width="9.5703125" style="31" bestFit="1" customWidth="1"/>
    <col min="4" max="4" width="9.28515625" style="31" hidden="1" customWidth="1"/>
    <col min="5" max="5" width="10" style="31" hidden="1" customWidth="1"/>
    <col min="6" max="6" width="8.28515625" style="31" bestFit="1" customWidth="1"/>
    <col min="7" max="7" width="9.5703125" style="31" bestFit="1" customWidth="1"/>
    <col min="8" max="8" width="10.42578125" style="31" bestFit="1" customWidth="1"/>
    <col min="9" max="9" width="7.5703125" style="31" customWidth="1"/>
    <col min="10" max="10" width="9.140625" style="31" bestFit="1" customWidth="1"/>
    <col min="11" max="11" width="8.42578125" style="31" customWidth="1"/>
    <col min="12" max="12" width="5.85546875" style="31" bestFit="1" customWidth="1"/>
    <col min="13" max="13" width="10.42578125" style="31" bestFit="1" customWidth="1"/>
    <col min="14" max="14" width="9" style="31" bestFit="1" customWidth="1"/>
    <col min="15" max="15" width="9.42578125" style="31" customWidth="1"/>
    <col min="16" max="16" width="10.42578125" style="31" bestFit="1" customWidth="1"/>
    <col min="17" max="17" width="4.7109375" style="32" hidden="1" customWidth="1"/>
    <col min="18" max="18" width="9.28515625" style="31" hidden="1" customWidth="1"/>
    <col min="19" max="19" width="9.5703125" style="31" bestFit="1" customWidth="1"/>
    <col min="20" max="20" width="1" style="31" customWidth="1" outlineLevel="1"/>
    <col min="21" max="21" width="10.42578125" style="31" bestFit="1" customWidth="1"/>
    <col min="22" max="22" width="9.140625" style="30" hidden="1" customWidth="1"/>
    <col min="23" max="24" width="11.28515625" style="30" hidden="1" customWidth="1"/>
    <col min="25" max="27" width="9.5703125" style="30" hidden="1" customWidth="1"/>
    <col min="28" max="32" width="9.140625" style="30" hidden="1" customWidth="1"/>
    <col min="33" max="16384" width="9.140625" style="30"/>
  </cols>
  <sheetData>
    <row r="1" spans="1:32" x14ac:dyDescent="0.2">
      <c r="A1" s="620" t="s">
        <v>2</v>
      </c>
      <c r="B1" s="620"/>
      <c r="C1" s="620"/>
      <c r="D1" s="620"/>
      <c r="E1" s="620"/>
      <c r="F1" s="620"/>
      <c r="G1" s="620"/>
      <c r="H1" s="620"/>
      <c r="I1" s="620"/>
      <c r="J1" s="620"/>
      <c r="K1" s="620"/>
      <c r="L1" s="620"/>
      <c r="M1" s="620"/>
      <c r="N1" s="620"/>
      <c r="O1" s="620"/>
      <c r="P1" s="620"/>
      <c r="Q1" s="620"/>
      <c r="R1" s="620"/>
      <c r="S1" s="620"/>
      <c r="T1" s="620"/>
      <c r="U1" s="620"/>
    </row>
    <row r="2" spans="1:32" x14ac:dyDescent="0.2">
      <c r="A2" s="621" t="s">
        <v>1069</v>
      </c>
      <c r="B2" s="621"/>
      <c r="C2" s="621"/>
      <c r="D2" s="621"/>
      <c r="E2" s="621"/>
      <c r="F2" s="621"/>
      <c r="G2" s="621"/>
      <c r="H2" s="621"/>
      <c r="I2" s="621"/>
      <c r="J2" s="621"/>
      <c r="K2" s="621"/>
      <c r="L2" s="621"/>
      <c r="M2" s="621"/>
      <c r="N2" s="621"/>
      <c r="O2" s="621"/>
      <c r="P2" s="621"/>
      <c r="Q2" s="621"/>
      <c r="R2" s="621"/>
      <c r="S2" s="621"/>
      <c r="T2" s="621"/>
      <c r="U2" s="621"/>
      <c r="X2" s="68" t="s">
        <v>484</v>
      </c>
    </row>
    <row r="3" spans="1:32" x14ac:dyDescent="0.2">
      <c r="B3" s="54"/>
      <c r="C3" s="54"/>
      <c r="D3" s="54"/>
      <c r="E3" s="54"/>
      <c r="F3" s="54"/>
      <c r="G3" s="54"/>
      <c r="H3" s="54"/>
      <c r="I3" s="54"/>
      <c r="J3" s="54"/>
      <c r="K3" s="54"/>
      <c r="L3" s="54"/>
      <c r="M3" s="54"/>
      <c r="N3" s="54"/>
      <c r="O3" s="54"/>
      <c r="P3" s="32" t="s">
        <v>1</v>
      </c>
      <c r="R3" s="32"/>
      <c r="S3" s="32"/>
      <c r="T3" s="32"/>
      <c r="V3" s="32" t="s">
        <v>1</v>
      </c>
      <c r="X3" s="68" t="s">
        <v>394</v>
      </c>
      <c r="Y3" s="68" t="s">
        <v>395</v>
      </c>
      <c r="Z3" s="68" t="s">
        <v>395</v>
      </c>
      <c r="AA3" s="68" t="s">
        <v>396</v>
      </c>
    </row>
    <row r="4" spans="1:32" x14ac:dyDescent="0.2">
      <c r="B4" s="54"/>
      <c r="C4" s="54"/>
      <c r="D4" s="54"/>
      <c r="E4" s="54"/>
      <c r="F4" s="54"/>
      <c r="G4" s="54"/>
      <c r="H4" s="54"/>
      <c r="I4" s="54"/>
      <c r="J4" s="54"/>
      <c r="K4" s="54"/>
      <c r="L4" s="54" t="s">
        <v>153</v>
      </c>
      <c r="M4" s="81" t="s">
        <v>61</v>
      </c>
      <c r="N4" s="68"/>
      <c r="O4" s="54" t="s">
        <v>148</v>
      </c>
      <c r="P4" s="32"/>
      <c r="R4" s="622" t="s">
        <v>754</v>
      </c>
      <c r="S4" s="623"/>
      <c r="T4" s="32"/>
      <c r="U4" s="32"/>
      <c r="AE4" s="29">
        <v>2012</v>
      </c>
      <c r="AF4" s="29">
        <v>2011</v>
      </c>
    </row>
    <row r="5" spans="1:32" s="29" customFormat="1" x14ac:dyDescent="0.2">
      <c r="B5" s="54" t="s">
        <v>144</v>
      </c>
      <c r="C5" s="54" t="s">
        <v>346</v>
      </c>
      <c r="D5" s="69" t="s">
        <v>145</v>
      </c>
      <c r="E5" s="69" t="s">
        <v>146</v>
      </c>
      <c r="F5" s="69" t="s">
        <v>147</v>
      </c>
      <c r="G5" s="40" t="s">
        <v>148</v>
      </c>
      <c r="H5" s="40" t="s">
        <v>149</v>
      </c>
      <c r="I5" s="40" t="s">
        <v>150</v>
      </c>
      <c r="J5" s="40" t="s">
        <v>151</v>
      </c>
      <c r="K5" s="104" t="s">
        <v>152</v>
      </c>
      <c r="L5" s="54" t="s">
        <v>154</v>
      </c>
      <c r="M5" s="81" t="s">
        <v>155</v>
      </c>
      <c r="N5" s="54" t="s">
        <v>156</v>
      </c>
      <c r="O5" s="54" t="s">
        <v>157</v>
      </c>
      <c r="P5" s="32" t="s">
        <v>7</v>
      </c>
      <c r="Q5" s="32"/>
      <c r="R5" s="29" t="s">
        <v>158</v>
      </c>
      <c r="S5" s="32"/>
      <c r="T5" s="32"/>
      <c r="U5" s="92" t="s">
        <v>7</v>
      </c>
      <c r="X5" s="71" t="s">
        <v>344</v>
      </c>
      <c r="Y5" s="72" t="s">
        <v>311</v>
      </c>
      <c r="Z5" s="68" t="s">
        <v>62</v>
      </c>
      <c r="AA5" s="68" t="s">
        <v>354</v>
      </c>
      <c r="AC5" s="68" t="s">
        <v>501</v>
      </c>
      <c r="AD5" s="68" t="s">
        <v>483</v>
      </c>
      <c r="AE5" s="68" t="s">
        <v>500</v>
      </c>
      <c r="AF5" s="68" t="s">
        <v>500</v>
      </c>
    </row>
    <row r="6" spans="1:32" x14ac:dyDescent="0.2">
      <c r="A6" s="33" t="s">
        <v>46</v>
      </c>
    </row>
    <row r="7" spans="1:32" x14ac:dyDescent="0.2">
      <c r="A7" s="30" t="s">
        <v>27</v>
      </c>
      <c r="B7" s="31">
        <v>0</v>
      </c>
      <c r="C7" s="31">
        <v>4227863</v>
      </c>
      <c r="D7" s="31">
        <v>0</v>
      </c>
      <c r="E7" s="31">
        <v>0</v>
      </c>
      <c r="F7" s="31">
        <v>0</v>
      </c>
      <c r="G7" s="31">
        <v>0</v>
      </c>
      <c r="H7" s="31">
        <f>24193062+12366465</f>
        <v>36559527</v>
      </c>
      <c r="I7" s="31">
        <v>0</v>
      </c>
      <c r="J7" s="31">
        <v>0</v>
      </c>
      <c r="K7" s="31">
        <v>0</v>
      </c>
      <c r="L7" s="31">
        <v>0</v>
      </c>
      <c r="M7" s="31">
        <f>9514091+8373562</f>
        <v>17887653</v>
      </c>
      <c r="N7" s="31">
        <v>0</v>
      </c>
      <c r="O7" s="31">
        <v>0</v>
      </c>
      <c r="P7" s="31">
        <f>SUM(B7:O7)</f>
        <v>58675043</v>
      </c>
      <c r="R7" s="31">
        <v>0</v>
      </c>
      <c r="S7" s="31">
        <v>0</v>
      </c>
      <c r="U7" s="31">
        <f>P7-R7+S7</f>
        <v>58675043</v>
      </c>
      <c r="V7" s="31">
        <v>0</v>
      </c>
      <c r="W7" s="51">
        <f>SUM(X7:AA7)</f>
        <v>58675043</v>
      </c>
      <c r="X7" s="51">
        <f>G7+H7+I7+J7+M7</f>
        <v>54447180</v>
      </c>
      <c r="Y7" s="51">
        <f>D7+E7+F7+K7</f>
        <v>0</v>
      </c>
      <c r="Z7" s="51">
        <f>B7+L7+N7+O7</f>
        <v>0</v>
      </c>
      <c r="AA7" s="51">
        <f>C7</f>
        <v>4227863</v>
      </c>
      <c r="AC7" s="31">
        <v>204839</v>
      </c>
      <c r="AD7" s="31">
        <v>156882</v>
      </c>
      <c r="AE7" s="31">
        <f>AC7-AD7</f>
        <v>47957</v>
      </c>
      <c r="AF7" s="31">
        <v>62982</v>
      </c>
    </row>
    <row r="8" spans="1:32" x14ac:dyDescent="0.2">
      <c r="A8" s="30" t="s">
        <v>28</v>
      </c>
      <c r="B8" s="36">
        <v>0</v>
      </c>
      <c r="C8" s="36">
        <v>-3375306</v>
      </c>
      <c r="D8" s="36">
        <v>0</v>
      </c>
      <c r="E8" s="36">
        <v>0</v>
      </c>
      <c r="F8" s="36">
        <v>0</v>
      </c>
      <c r="G8" s="36">
        <v>0</v>
      </c>
      <c r="H8" s="36">
        <f>-26352008+2996899-8830757</f>
        <v>-32185866</v>
      </c>
      <c r="I8" s="36">
        <v>0</v>
      </c>
      <c r="J8" s="36">
        <v>0</v>
      </c>
      <c r="K8" s="36">
        <v>0</v>
      </c>
      <c r="L8" s="36">
        <v>0</v>
      </c>
      <c r="M8" s="36">
        <f>-9726107+447219-6153542</f>
        <v>-15432430</v>
      </c>
      <c r="N8" s="36">
        <v>0</v>
      </c>
      <c r="O8" s="36">
        <v>0</v>
      </c>
      <c r="P8" s="36">
        <f>SUM(B8:O8)</f>
        <v>-50993602</v>
      </c>
      <c r="R8" s="31">
        <v>0</v>
      </c>
      <c r="S8" s="31">
        <v>0</v>
      </c>
      <c r="T8" s="36"/>
      <c r="U8" s="36">
        <f>P8-R8+S8</f>
        <v>-50993602</v>
      </c>
      <c r="V8" s="36">
        <v>0</v>
      </c>
      <c r="W8" s="51">
        <f t="shared" ref="W8:W30" si="0">SUM(X8:AA8)</f>
        <v>-50993602</v>
      </c>
      <c r="X8" s="70">
        <f>G8+H8+I8+J8+M8</f>
        <v>-47618296</v>
      </c>
      <c r="Y8" s="70">
        <f>D8+E8+F8+K8</f>
        <v>0</v>
      </c>
      <c r="Z8" s="70">
        <f>B8+L8+N8+O8</f>
        <v>0</v>
      </c>
      <c r="AA8" s="70">
        <f>C8</f>
        <v>-3375306</v>
      </c>
      <c r="AC8" s="36">
        <v>-202152</v>
      </c>
      <c r="AD8" s="36">
        <v>-154334</v>
      </c>
      <c r="AE8" s="36">
        <f>AC8-AD8</f>
        <v>-47818</v>
      </c>
      <c r="AF8" s="31">
        <v>-61291</v>
      </c>
    </row>
    <row r="9" spans="1:32" x14ac:dyDescent="0.2">
      <c r="A9" s="33" t="s">
        <v>48</v>
      </c>
      <c r="B9" s="31">
        <f t="shared" ref="B9:P9" si="1">SUM(B7:B8)</f>
        <v>0</v>
      </c>
      <c r="C9" s="31">
        <f t="shared" si="1"/>
        <v>852557</v>
      </c>
      <c r="D9" s="31">
        <f t="shared" si="1"/>
        <v>0</v>
      </c>
      <c r="E9" s="31">
        <f t="shared" si="1"/>
        <v>0</v>
      </c>
      <c r="F9" s="31">
        <f t="shared" si="1"/>
        <v>0</v>
      </c>
      <c r="G9" s="31">
        <f t="shared" si="1"/>
        <v>0</v>
      </c>
      <c r="H9" s="31">
        <f t="shared" si="1"/>
        <v>4373661</v>
      </c>
      <c r="I9" s="31">
        <f t="shared" si="1"/>
        <v>0</v>
      </c>
      <c r="J9" s="31">
        <f t="shared" si="1"/>
        <v>0</v>
      </c>
      <c r="K9" s="31">
        <f t="shared" si="1"/>
        <v>0</v>
      </c>
      <c r="L9" s="31">
        <f t="shared" si="1"/>
        <v>0</v>
      </c>
      <c r="M9" s="31">
        <f t="shared" si="1"/>
        <v>2455223</v>
      </c>
      <c r="N9" s="31">
        <f t="shared" si="1"/>
        <v>0</v>
      </c>
      <c r="O9" s="31">
        <f t="shared" si="1"/>
        <v>0</v>
      </c>
      <c r="P9" s="31">
        <f t="shared" si="1"/>
        <v>7681441</v>
      </c>
      <c r="T9" s="31">
        <f>SUM(T7:T8)</f>
        <v>0</v>
      </c>
      <c r="U9" s="31">
        <f>SUM(U7:U8)</f>
        <v>7681441</v>
      </c>
      <c r="V9" s="31">
        <f>SUM(V7:V8)</f>
        <v>0</v>
      </c>
      <c r="W9" s="51">
        <f t="shared" si="0"/>
        <v>7681441</v>
      </c>
      <c r="X9" s="51">
        <f>SUM(X7:X8)</f>
        <v>6828884</v>
      </c>
      <c r="Y9" s="51">
        <f>SUM(Y7:Y8)</f>
        <v>0</v>
      </c>
      <c r="Z9" s="51">
        <f>SUM(Z7:Z8)</f>
        <v>0</v>
      </c>
      <c r="AA9" s="51">
        <f>SUM(AA7:AA8)</f>
        <v>852557</v>
      </c>
      <c r="AC9" s="31">
        <f>SUM(AC7:AC8)</f>
        <v>2687</v>
      </c>
      <c r="AD9" s="31">
        <f>SUM(AD7:AD8)</f>
        <v>2548</v>
      </c>
      <c r="AE9" s="31">
        <f>SUM(AE7:AE8)</f>
        <v>139</v>
      </c>
      <c r="AF9" s="31">
        <f>SUM(AF7:AF8)</f>
        <v>1691</v>
      </c>
    </row>
    <row r="10" spans="1:32" x14ac:dyDescent="0.2">
      <c r="V10" s="31"/>
      <c r="W10" s="51">
        <f t="shared" si="0"/>
        <v>0</v>
      </c>
      <c r="X10" s="51"/>
      <c r="Y10" s="51"/>
      <c r="Z10" s="51"/>
      <c r="AC10" s="31"/>
      <c r="AD10" s="31"/>
      <c r="AE10" s="31"/>
      <c r="AF10" s="31"/>
    </row>
    <row r="11" spans="1:32" x14ac:dyDescent="0.2">
      <c r="A11" s="30" t="s">
        <v>29</v>
      </c>
      <c r="B11" s="31">
        <v>10563</v>
      </c>
      <c r="C11" s="31">
        <f>5974</f>
        <v>5974</v>
      </c>
      <c r="D11" s="31">
        <v>0</v>
      </c>
      <c r="E11" s="31">
        <v>0</v>
      </c>
      <c r="F11" s="31">
        <f>82503+18249</f>
        <v>100752</v>
      </c>
      <c r="G11" s="31">
        <f>359536+2694953</f>
        <v>3054489</v>
      </c>
      <c r="H11" s="31">
        <f>190364</f>
        <v>190364</v>
      </c>
      <c r="I11" s="31">
        <v>0</v>
      </c>
      <c r="J11" s="31">
        <v>0</v>
      </c>
      <c r="K11" s="31">
        <v>0</v>
      </c>
      <c r="L11" s="31">
        <v>0</v>
      </c>
      <c r="M11" s="31">
        <f>18366</f>
        <v>18366</v>
      </c>
      <c r="N11" s="31">
        <v>0</v>
      </c>
      <c r="O11" s="31">
        <v>0</v>
      </c>
      <c r="P11" s="31">
        <f>SUM(B11:O11)</f>
        <v>3380508</v>
      </c>
      <c r="Q11" s="54"/>
      <c r="R11" s="31">
        <v>0</v>
      </c>
      <c r="S11" s="52">
        <v>-2270000</v>
      </c>
      <c r="U11" s="31">
        <f>P11-R11+S11</f>
        <v>1110508</v>
      </c>
      <c r="V11" s="31">
        <v>0</v>
      </c>
      <c r="W11" s="51">
        <f>SUM(X11:AA11)</f>
        <v>3380508</v>
      </c>
      <c r="X11" s="51">
        <f>G11+H11+I11+J11+M11</f>
        <v>3263219</v>
      </c>
      <c r="Y11" s="51">
        <f>D11+E11+F11+K11</f>
        <v>100752</v>
      </c>
      <c r="Z11" s="51">
        <f>B11+L11+N11+O11</f>
        <v>10563</v>
      </c>
      <c r="AA11" s="51">
        <f>C11</f>
        <v>5974</v>
      </c>
      <c r="AC11" s="31">
        <v>15379</v>
      </c>
      <c r="AD11" s="31">
        <v>11998</v>
      </c>
      <c r="AE11" s="31">
        <f>AC11-AD11</f>
        <v>3381</v>
      </c>
      <c r="AF11" s="31">
        <v>3701</v>
      </c>
    </row>
    <row r="12" spans="1:32" x14ac:dyDescent="0.2">
      <c r="A12" s="34" t="s">
        <v>47</v>
      </c>
      <c r="B12" s="31">
        <v>0</v>
      </c>
      <c r="C12" s="31">
        <f>-4350-49333</f>
        <v>-53683</v>
      </c>
      <c r="D12" s="31">
        <v>0</v>
      </c>
      <c r="E12" s="31">
        <v>0</v>
      </c>
      <c r="F12" s="31">
        <v>0</v>
      </c>
      <c r="G12" s="31">
        <v>0</v>
      </c>
      <c r="H12" s="31">
        <f>-674386-28797-1428626+1</f>
        <v>-2131808</v>
      </c>
      <c r="I12" s="31">
        <v>0</v>
      </c>
      <c r="J12" s="31">
        <v>0</v>
      </c>
      <c r="K12" s="31">
        <v>0</v>
      </c>
      <c r="L12" s="31">
        <v>0</v>
      </c>
      <c r="M12" s="31">
        <f>-440937-5306-854704</f>
        <v>-1300947</v>
      </c>
      <c r="N12" s="31">
        <v>0</v>
      </c>
      <c r="O12" s="31">
        <v>0</v>
      </c>
      <c r="P12" s="31">
        <f>SUM(B12:O12)</f>
        <v>-3486438</v>
      </c>
      <c r="R12" s="31">
        <v>0</v>
      </c>
      <c r="U12" s="31">
        <f>P12-R12+S12</f>
        <v>-3486438</v>
      </c>
      <c r="V12" s="31">
        <v>0</v>
      </c>
      <c r="W12" s="51">
        <f t="shared" si="0"/>
        <v>-3486438</v>
      </c>
      <c r="X12" s="51">
        <f>G12+H12+I12+J12+M12</f>
        <v>-3432755</v>
      </c>
      <c r="Y12" s="51">
        <f>D12+E12+F12+K12</f>
        <v>0</v>
      </c>
      <c r="Z12" s="51">
        <f>B12+L12+N12+O12</f>
        <v>0</v>
      </c>
      <c r="AA12" s="51">
        <f>C12</f>
        <v>-53683</v>
      </c>
      <c r="AC12" s="31">
        <v>-5135</v>
      </c>
      <c r="AD12" s="31">
        <v>-3889</v>
      </c>
      <c r="AE12" s="31">
        <f>AC12-AD12</f>
        <v>-1246</v>
      </c>
      <c r="AF12" s="31">
        <v>-1686</v>
      </c>
    </row>
    <row r="13" spans="1:32" x14ac:dyDescent="0.2">
      <c r="A13" s="30" t="s">
        <v>30</v>
      </c>
      <c r="B13" s="31">
        <v>-1507374</v>
      </c>
      <c r="C13" s="31">
        <f>-1677180+4350+49333-15319</f>
        <v>-1638816</v>
      </c>
      <c r="D13" s="31">
        <v>0</v>
      </c>
      <c r="E13" s="31">
        <v>0</v>
      </c>
      <c r="F13" s="31">
        <f>-102939-179</f>
        <v>-103118</v>
      </c>
      <c r="G13" s="31">
        <f>-2565903+6720</f>
        <v>-2559183</v>
      </c>
      <c r="H13" s="31">
        <f>-2936250+783651</f>
        <v>-2152599</v>
      </c>
      <c r="I13" s="31">
        <v>-1477</v>
      </c>
      <c r="J13" s="31">
        <f>-1548</f>
        <v>-1548</v>
      </c>
      <c r="K13" s="31">
        <f>-572-54</f>
        <v>-626</v>
      </c>
      <c r="L13" s="31">
        <f>-406</f>
        <v>-406</v>
      </c>
      <c r="M13" s="31">
        <f>-1452747</f>
        <v>-1452747</v>
      </c>
      <c r="N13" s="31">
        <f>-406</f>
        <v>-406</v>
      </c>
      <c r="O13" s="31">
        <f>-1487</f>
        <v>-1487</v>
      </c>
      <c r="P13" s="31">
        <f>SUM(B13:O13)</f>
        <v>-9419787</v>
      </c>
      <c r="Q13" s="54" t="s">
        <v>475</v>
      </c>
      <c r="R13" s="31">
        <v>0</v>
      </c>
      <c r="U13" s="31">
        <f>P13-R13+S13-R14+S14-R15+S15</f>
        <v>-7489796</v>
      </c>
      <c r="V13" s="31">
        <v>0</v>
      </c>
      <c r="W13" s="51">
        <f>SUM(X13:AA13)</f>
        <v>-9419787</v>
      </c>
      <c r="X13" s="51">
        <f>G13+H13+I13+J13+M13</f>
        <v>-6167554</v>
      </c>
      <c r="Y13" s="51">
        <f>D13+E13+F13+K13</f>
        <v>-103744</v>
      </c>
      <c r="Z13" s="51">
        <f>B13+L13+N13+O13</f>
        <v>-1509673</v>
      </c>
      <c r="AA13" s="51">
        <f>C13</f>
        <v>-1638816</v>
      </c>
      <c r="AC13" s="52">
        <v>-20236</v>
      </c>
      <c r="AD13" s="52">
        <v>-12655</v>
      </c>
      <c r="AE13" s="52">
        <f>AC13-AD13</f>
        <v>-7581</v>
      </c>
      <c r="AF13" s="52">
        <f>-4023-3924</f>
        <v>-7947</v>
      </c>
    </row>
    <row r="14" spans="1:32" x14ac:dyDescent="0.2">
      <c r="O14" s="52" t="s">
        <v>972</v>
      </c>
      <c r="Q14" s="54" t="s">
        <v>512</v>
      </c>
      <c r="R14" s="31">
        <v>0</v>
      </c>
      <c r="S14" s="31">
        <v>2270000</v>
      </c>
      <c r="V14" s="31"/>
      <c r="W14" s="51"/>
      <c r="X14" s="51"/>
      <c r="Y14" s="51"/>
      <c r="Z14" s="51"/>
      <c r="AA14" s="51"/>
      <c r="AC14" s="31"/>
      <c r="AD14" s="31"/>
      <c r="AE14" s="31"/>
      <c r="AF14" s="31"/>
    </row>
    <row r="15" spans="1:32" x14ac:dyDescent="0.2">
      <c r="O15" s="52" t="s">
        <v>971</v>
      </c>
      <c r="Q15" s="54"/>
      <c r="R15" s="31">
        <f>'Conso C adjs'!F148</f>
        <v>0</v>
      </c>
      <c r="S15" s="31">
        <v>-340009</v>
      </c>
      <c r="V15" s="31"/>
      <c r="W15" s="51"/>
      <c r="X15" s="51"/>
      <c r="Y15" s="51"/>
      <c r="Z15" s="51"/>
      <c r="AA15" s="51"/>
      <c r="AC15" s="31"/>
      <c r="AD15" s="31"/>
      <c r="AE15" s="31"/>
      <c r="AF15" s="31"/>
    </row>
    <row r="16" spans="1:32" hidden="1" x14ac:dyDescent="0.2">
      <c r="N16" s="52"/>
      <c r="Q16" s="54"/>
      <c r="R16" s="31">
        <f>'Conso C adjs'!D159</f>
        <v>0</v>
      </c>
      <c r="V16" s="31"/>
      <c r="W16" s="51"/>
      <c r="X16" s="51"/>
      <c r="Y16" s="51"/>
      <c r="Z16" s="51"/>
      <c r="AA16" s="51"/>
      <c r="AC16" s="31"/>
      <c r="AD16" s="31"/>
      <c r="AE16" s="31"/>
      <c r="AF16" s="31"/>
    </row>
    <row r="17" spans="1:32" hidden="1" x14ac:dyDescent="0.2">
      <c r="Q17" s="54"/>
      <c r="R17" s="31">
        <f>'Conso C adjs'!D169</f>
        <v>0</v>
      </c>
      <c r="V17" s="31"/>
      <c r="W17" s="51"/>
      <c r="X17" s="51"/>
      <c r="Y17" s="51"/>
      <c r="Z17" s="51"/>
      <c r="AA17" s="51"/>
      <c r="AC17" s="31"/>
      <c r="AD17" s="31"/>
      <c r="AE17" s="31"/>
      <c r="AF17" s="31"/>
    </row>
    <row r="18" spans="1:32" x14ac:dyDescent="0.2">
      <c r="B18" s="36"/>
      <c r="C18" s="36"/>
      <c r="D18" s="36"/>
      <c r="E18" s="36"/>
      <c r="F18" s="36"/>
      <c r="G18" s="36">
        <v>0</v>
      </c>
      <c r="H18" s="36"/>
      <c r="I18" s="36"/>
      <c r="J18" s="36"/>
      <c r="K18" s="36"/>
      <c r="L18" s="36"/>
      <c r="M18" s="36"/>
      <c r="N18" s="36"/>
      <c r="O18" s="36"/>
      <c r="P18" s="36"/>
      <c r="Q18" s="93"/>
      <c r="R18" s="36"/>
      <c r="S18" s="36"/>
      <c r="T18" s="36"/>
      <c r="U18" s="36"/>
      <c r="V18" s="36"/>
      <c r="W18" s="70"/>
      <c r="X18" s="70">
        <f>G18+H18+I18+J18+M18</f>
        <v>0</v>
      </c>
      <c r="Y18" s="70"/>
      <c r="Z18" s="70"/>
      <c r="AA18" s="70"/>
      <c r="AB18" s="94"/>
      <c r="AC18" s="36">
        <v>0</v>
      </c>
      <c r="AD18" s="36">
        <v>0</v>
      </c>
      <c r="AE18" s="36">
        <f>AC18-AD18</f>
        <v>0</v>
      </c>
      <c r="AF18" s="31"/>
    </row>
    <row r="19" spans="1:32" x14ac:dyDescent="0.2">
      <c r="A19" s="33" t="s">
        <v>106</v>
      </c>
      <c r="B19" s="31">
        <f>SUM(B9:B18)</f>
        <v>-1496811</v>
      </c>
      <c r="C19" s="31">
        <f t="shared" ref="C19:O19" si="2">SUM(C9:C18)</f>
        <v>-833968</v>
      </c>
      <c r="D19" s="31">
        <f t="shared" si="2"/>
        <v>0</v>
      </c>
      <c r="E19" s="31">
        <f t="shared" si="2"/>
        <v>0</v>
      </c>
      <c r="F19" s="31">
        <f t="shared" si="2"/>
        <v>-2366</v>
      </c>
      <c r="G19" s="31">
        <f t="shared" si="2"/>
        <v>495306</v>
      </c>
      <c r="H19" s="31">
        <f t="shared" si="2"/>
        <v>279618</v>
      </c>
      <c r="I19" s="31">
        <f t="shared" si="2"/>
        <v>-1477</v>
      </c>
      <c r="J19" s="31">
        <f t="shared" si="2"/>
        <v>-1548</v>
      </c>
      <c r="K19" s="31">
        <f t="shared" si="2"/>
        <v>-626</v>
      </c>
      <c r="L19" s="31">
        <f t="shared" si="2"/>
        <v>-406</v>
      </c>
      <c r="M19" s="31">
        <f t="shared" si="2"/>
        <v>-280105</v>
      </c>
      <c r="N19" s="31">
        <f t="shared" si="2"/>
        <v>-406</v>
      </c>
      <c r="O19" s="31">
        <f t="shared" si="2"/>
        <v>-1487</v>
      </c>
      <c r="P19" s="31">
        <f>SUM(P9:P18)</f>
        <v>-1844276</v>
      </c>
      <c r="T19" s="31">
        <f>SUM(T9:T18)</f>
        <v>0</v>
      </c>
      <c r="U19" s="31">
        <f>SUM(U9:U18)</f>
        <v>-2184285</v>
      </c>
      <c r="V19" s="31">
        <f>SUM(V9:V13)</f>
        <v>0</v>
      </c>
      <c r="W19" s="51">
        <f>SUM(X19:AA19)</f>
        <v>-1844276</v>
      </c>
      <c r="X19" s="51">
        <f>SUM(X9:X18)</f>
        <v>491794</v>
      </c>
      <c r="Y19" s="51">
        <f>SUM(Y9:Y18)</f>
        <v>-2992</v>
      </c>
      <c r="Z19" s="51">
        <f>SUM(Z9:Z18)</f>
        <v>-1499110</v>
      </c>
      <c r="AA19" s="51">
        <f>SUM(AA9:AA18)</f>
        <v>-833968</v>
      </c>
      <c r="AC19" s="31">
        <f>SUM(AC9:AC18)</f>
        <v>-7305</v>
      </c>
      <c r="AD19" s="31">
        <f>SUM(AD9:AD18)</f>
        <v>-1998</v>
      </c>
      <c r="AE19" s="31">
        <f>SUM(AE9:AE18)</f>
        <v>-5307</v>
      </c>
      <c r="AF19" s="31">
        <f>SUM(AF9:AF18)</f>
        <v>-4241</v>
      </c>
    </row>
    <row r="20" spans="1:32" x14ac:dyDescent="0.2">
      <c r="A20" s="33"/>
      <c r="V20" s="31"/>
      <c r="W20" s="51">
        <f t="shared" si="0"/>
        <v>0</v>
      </c>
      <c r="X20" s="51"/>
      <c r="Y20" s="51"/>
      <c r="Z20" s="51"/>
      <c r="AC20" s="31"/>
      <c r="AD20" s="31"/>
      <c r="AE20" s="31"/>
      <c r="AF20" s="31"/>
    </row>
    <row r="21" spans="1:32" x14ac:dyDescent="0.2">
      <c r="A21" s="30" t="s">
        <v>3</v>
      </c>
      <c r="B21" s="36">
        <v>-18322</v>
      </c>
      <c r="C21" s="36">
        <f>-798502</f>
        <v>-798502</v>
      </c>
      <c r="D21" s="36">
        <v>0</v>
      </c>
      <c r="E21" s="36">
        <v>0</v>
      </c>
      <c r="F21" s="36">
        <v>0</v>
      </c>
      <c r="G21" s="36">
        <v>-6720</v>
      </c>
      <c r="H21" s="36">
        <f>-783651</f>
        <v>-783651</v>
      </c>
      <c r="I21" s="36">
        <v>0</v>
      </c>
      <c r="J21" s="36">
        <v>0</v>
      </c>
      <c r="K21" s="36">
        <v>0</v>
      </c>
      <c r="L21" s="36"/>
      <c r="M21" s="36">
        <v>0</v>
      </c>
      <c r="N21" s="36">
        <v>0</v>
      </c>
      <c r="O21" s="36">
        <v>0</v>
      </c>
      <c r="P21" s="36">
        <f>SUM(B21:O21)</f>
        <v>-1607195</v>
      </c>
      <c r="R21" s="31">
        <v>0</v>
      </c>
      <c r="S21" s="31">
        <v>0</v>
      </c>
      <c r="T21" s="36"/>
      <c r="U21" s="36">
        <f>P21-R21+S21</f>
        <v>-1607195</v>
      </c>
      <c r="V21" s="36">
        <v>0</v>
      </c>
      <c r="W21" s="51">
        <f t="shared" si="0"/>
        <v>-1607195</v>
      </c>
      <c r="X21" s="70">
        <f>G21+H21+I21+J21+M21</f>
        <v>-790371</v>
      </c>
      <c r="Y21" s="70">
        <f>D21+E21+F21+K21</f>
        <v>0</v>
      </c>
      <c r="Z21" s="70">
        <f>B21+L21+N21+O21</f>
        <v>-18322</v>
      </c>
      <c r="AA21" s="70">
        <f>C21</f>
        <v>-798502</v>
      </c>
      <c r="AC21" s="36">
        <v>-3174</v>
      </c>
      <c r="AD21" s="36">
        <v>-2302</v>
      </c>
      <c r="AE21" s="36">
        <f>AC21-AD21</f>
        <v>-872</v>
      </c>
      <c r="AF21" s="31">
        <v>-456</v>
      </c>
    </row>
    <row r="22" spans="1:32" x14ac:dyDescent="0.2">
      <c r="A22" s="38" t="s">
        <v>66</v>
      </c>
      <c r="B22" s="31">
        <f t="shared" ref="B22:P22" si="3">SUM(B19:B21)</f>
        <v>-1515133</v>
      </c>
      <c r="C22" s="31">
        <f t="shared" si="3"/>
        <v>-1632470</v>
      </c>
      <c r="D22" s="31">
        <f t="shared" si="3"/>
        <v>0</v>
      </c>
      <c r="E22" s="31">
        <f t="shared" si="3"/>
        <v>0</v>
      </c>
      <c r="F22" s="31">
        <f t="shared" si="3"/>
        <v>-2366</v>
      </c>
      <c r="G22" s="31">
        <f t="shared" si="3"/>
        <v>488586</v>
      </c>
      <c r="H22" s="31">
        <f t="shared" si="3"/>
        <v>-504033</v>
      </c>
      <c r="I22" s="31">
        <f t="shared" si="3"/>
        <v>-1477</v>
      </c>
      <c r="J22" s="31">
        <f t="shared" si="3"/>
        <v>-1548</v>
      </c>
      <c r="K22" s="31">
        <f t="shared" si="3"/>
        <v>-626</v>
      </c>
      <c r="L22" s="31">
        <f t="shared" si="3"/>
        <v>-406</v>
      </c>
      <c r="M22" s="31">
        <f t="shared" si="3"/>
        <v>-280105</v>
      </c>
      <c r="N22" s="31">
        <f t="shared" si="3"/>
        <v>-406</v>
      </c>
      <c r="O22" s="31">
        <f t="shared" si="3"/>
        <v>-1487</v>
      </c>
      <c r="P22" s="31">
        <f t="shared" si="3"/>
        <v>-3451471</v>
      </c>
      <c r="T22" s="31">
        <f>SUM(T19:T21)</f>
        <v>0</v>
      </c>
      <c r="U22" s="31">
        <f>SUM(U19:U21)</f>
        <v>-3791480</v>
      </c>
      <c r="V22" s="31">
        <f>SUM(V19:V21)</f>
        <v>0</v>
      </c>
      <c r="W22" s="51">
        <f t="shared" si="0"/>
        <v>-3451471</v>
      </c>
      <c r="X22" s="51">
        <f>SUM(X19:X21)</f>
        <v>-298577</v>
      </c>
      <c r="Y22" s="51">
        <f>SUM(Y19:Y21)</f>
        <v>-2992</v>
      </c>
      <c r="Z22" s="51">
        <f>SUM(Z19:Z21)</f>
        <v>-1517432</v>
      </c>
      <c r="AA22" s="51">
        <f>SUM(AA19:AA21)</f>
        <v>-1632470</v>
      </c>
      <c r="AC22" s="31">
        <f>SUM(AC19:AC21)</f>
        <v>-10479</v>
      </c>
      <c r="AD22" s="31">
        <f>SUM(AD19:AD21)</f>
        <v>-4300</v>
      </c>
      <c r="AE22" s="31">
        <f>SUM(AE19:AE21)</f>
        <v>-6179</v>
      </c>
      <c r="AF22" s="31">
        <f>SUM(AF19:AF21)</f>
        <v>-4697</v>
      </c>
    </row>
    <row r="23" spans="1:32" x14ac:dyDescent="0.2">
      <c r="A23" s="33"/>
      <c r="V23" s="31"/>
      <c r="W23" s="51">
        <f t="shared" si="0"/>
        <v>0</v>
      </c>
      <c r="X23" s="51"/>
      <c r="Y23" s="51"/>
      <c r="Z23" s="51"/>
      <c r="AC23" s="31"/>
      <c r="AD23" s="31"/>
      <c r="AE23" s="31"/>
      <c r="AF23" s="31"/>
    </row>
    <row r="24" spans="1:32" x14ac:dyDescent="0.2">
      <c r="A24" s="34" t="s">
        <v>107</v>
      </c>
      <c r="B24" s="36">
        <v>-5812</v>
      </c>
      <c r="C24" s="36">
        <v>10862</v>
      </c>
      <c r="D24" s="36">
        <v>0</v>
      </c>
      <c r="E24" s="36">
        <v>0</v>
      </c>
      <c r="F24" s="36">
        <v>0</v>
      </c>
      <c r="G24" s="36">
        <v>0</v>
      </c>
      <c r="H24" s="36">
        <v>0</v>
      </c>
      <c r="I24" s="36">
        <v>0</v>
      </c>
      <c r="J24" s="36">
        <v>0</v>
      </c>
      <c r="K24" s="36">
        <v>0</v>
      </c>
      <c r="L24" s="36">
        <v>0</v>
      </c>
      <c r="M24" s="36">
        <v>0</v>
      </c>
      <c r="N24" s="36">
        <v>0</v>
      </c>
      <c r="O24" s="36">
        <v>0</v>
      </c>
      <c r="P24" s="36">
        <f>SUM(B24:O24)</f>
        <v>5050</v>
      </c>
      <c r="Q24" s="54"/>
      <c r="R24" s="31">
        <v>0</v>
      </c>
      <c r="S24" s="31">
        <f>'Conso C adjs'!E166</f>
        <v>0</v>
      </c>
      <c r="T24" s="36"/>
      <c r="U24" s="36">
        <f>P24-R24+S24</f>
        <v>5050</v>
      </c>
      <c r="V24" s="36">
        <v>0</v>
      </c>
      <c r="W24" s="51">
        <f t="shared" si="0"/>
        <v>5050</v>
      </c>
      <c r="X24" s="70">
        <f>G24+H24+I24+J24+M24</f>
        <v>0</v>
      </c>
      <c r="Y24" s="70">
        <f>D24+E24+F24+K24</f>
        <v>0</v>
      </c>
      <c r="Z24" s="70">
        <f>B24+L24+N24+O24</f>
        <v>-5812</v>
      </c>
      <c r="AA24" s="70">
        <f>C24</f>
        <v>10862</v>
      </c>
      <c r="AC24" s="36">
        <v>-4</v>
      </c>
      <c r="AD24" s="36">
        <v>-4</v>
      </c>
      <c r="AE24" s="36">
        <f>AC24-AD24</f>
        <v>0</v>
      </c>
      <c r="AF24" s="31">
        <v>53</v>
      </c>
    </row>
    <row r="25" spans="1:32" hidden="1" x14ac:dyDescent="0.2">
      <c r="A25" s="33" t="s">
        <v>67</v>
      </c>
      <c r="B25" s="31">
        <f t="shared" ref="B25:P25" si="4">SUM(B22:B24)</f>
        <v>-1520945</v>
      </c>
      <c r="C25" s="31">
        <f t="shared" si="4"/>
        <v>-1621608</v>
      </c>
      <c r="D25" s="31">
        <f t="shared" si="4"/>
        <v>0</v>
      </c>
      <c r="E25" s="31">
        <f t="shared" si="4"/>
        <v>0</v>
      </c>
      <c r="F25" s="31">
        <f t="shared" si="4"/>
        <v>-2366</v>
      </c>
      <c r="G25" s="31">
        <f t="shared" si="4"/>
        <v>488586</v>
      </c>
      <c r="H25" s="31">
        <f t="shared" si="4"/>
        <v>-504033</v>
      </c>
      <c r="I25" s="31">
        <f t="shared" si="4"/>
        <v>-1477</v>
      </c>
      <c r="J25" s="31">
        <f t="shared" si="4"/>
        <v>-1548</v>
      </c>
      <c r="K25" s="31">
        <f t="shared" si="4"/>
        <v>-626</v>
      </c>
      <c r="L25" s="31">
        <f t="shared" si="4"/>
        <v>-406</v>
      </c>
      <c r="M25" s="31">
        <f t="shared" si="4"/>
        <v>-280105</v>
      </c>
      <c r="N25" s="31">
        <f t="shared" si="4"/>
        <v>-406</v>
      </c>
      <c r="O25" s="31">
        <f t="shared" si="4"/>
        <v>-1487</v>
      </c>
      <c r="P25" s="31">
        <f t="shared" si="4"/>
        <v>-3446421</v>
      </c>
      <c r="T25" s="31">
        <f>SUM(T22:T24)</f>
        <v>0</v>
      </c>
      <c r="U25" s="31">
        <f>SUM(U22:U24)</f>
        <v>-3786430</v>
      </c>
      <c r="V25" s="31">
        <f>SUM(V22:V24)</f>
        <v>0</v>
      </c>
      <c r="W25" s="51">
        <f t="shared" si="0"/>
        <v>-3446421</v>
      </c>
      <c r="X25" s="51">
        <f>SUM(X22:X24)</f>
        <v>-298577</v>
      </c>
      <c r="Y25" s="51">
        <f>SUM(Y22:Y24)</f>
        <v>-2992</v>
      </c>
      <c r="Z25" s="51">
        <f>SUM(Z22:Z24)</f>
        <v>-1523244</v>
      </c>
      <c r="AA25" s="51">
        <f>SUM(AA22:AA24)</f>
        <v>-1621608</v>
      </c>
      <c r="AC25" s="31">
        <f>SUM(AC22:AC24)</f>
        <v>-10483</v>
      </c>
      <c r="AD25" s="31">
        <f>SUM(AD22:AD24)</f>
        <v>-4304</v>
      </c>
      <c r="AE25" s="31">
        <f>SUM(AE22:AE24)</f>
        <v>-6179</v>
      </c>
      <c r="AF25" s="31">
        <f>SUM(AF22:AF24)</f>
        <v>-4644</v>
      </c>
    </row>
    <row r="26" spans="1:32" hidden="1" x14ac:dyDescent="0.2">
      <c r="A26" s="34"/>
      <c r="V26" s="31"/>
      <c r="W26" s="51"/>
      <c r="X26" s="51"/>
      <c r="Y26" s="51"/>
      <c r="Z26" s="51"/>
      <c r="AC26" s="31"/>
      <c r="AD26" s="31"/>
      <c r="AE26" s="31"/>
      <c r="AF26" s="31"/>
    </row>
    <row r="27" spans="1:32" hidden="1" x14ac:dyDescent="0.2">
      <c r="A27" s="38" t="s">
        <v>49</v>
      </c>
      <c r="V27" s="31"/>
      <c r="W27" s="51"/>
      <c r="X27" s="51"/>
      <c r="Y27" s="51"/>
      <c r="Z27" s="51"/>
      <c r="AC27" s="31"/>
      <c r="AD27" s="31"/>
      <c r="AE27" s="31"/>
      <c r="AF27" s="31"/>
    </row>
    <row r="28" spans="1:32" hidden="1" x14ac:dyDescent="0.2">
      <c r="A28" s="34" t="s">
        <v>50</v>
      </c>
      <c r="V28" s="31"/>
      <c r="W28" s="51"/>
      <c r="X28" s="51"/>
      <c r="Y28" s="51"/>
      <c r="Z28" s="51"/>
      <c r="AC28" s="31"/>
      <c r="AD28" s="31"/>
      <c r="AE28" s="31"/>
      <c r="AF28" s="31"/>
    </row>
    <row r="29" spans="1:32" hidden="1" x14ac:dyDescent="0.2">
      <c r="A29" s="34" t="s">
        <v>51</v>
      </c>
      <c r="B29" s="31">
        <v>0</v>
      </c>
      <c r="C29" s="31">
        <v>0</v>
      </c>
      <c r="D29" s="31">
        <v>0</v>
      </c>
      <c r="E29" s="31">
        <v>0</v>
      </c>
      <c r="F29" s="31">
        <v>0</v>
      </c>
      <c r="G29" s="31">
        <v>0</v>
      </c>
      <c r="H29" s="31">
        <v>0</v>
      </c>
      <c r="I29" s="31">
        <v>0</v>
      </c>
      <c r="J29" s="31">
        <v>0</v>
      </c>
      <c r="K29" s="31">
        <v>0</v>
      </c>
      <c r="L29" s="31">
        <v>0</v>
      </c>
      <c r="M29" s="31">
        <v>0</v>
      </c>
      <c r="N29" s="31">
        <v>0</v>
      </c>
      <c r="O29" s="31">
        <v>0</v>
      </c>
      <c r="P29" s="31">
        <f>SUM(B29:O29)</f>
        <v>0</v>
      </c>
      <c r="U29" s="31">
        <f>SUM(B29:T29)</f>
        <v>0</v>
      </c>
      <c r="V29" s="31">
        <v>0</v>
      </c>
      <c r="W29" s="51">
        <f t="shared" si="0"/>
        <v>0</v>
      </c>
      <c r="X29" s="51">
        <f>G29+H29+I29+J29+M29</f>
        <v>0</v>
      </c>
      <c r="Y29" s="51">
        <f>D29+E29+F29+K29</f>
        <v>0</v>
      </c>
      <c r="Z29" s="51">
        <f>B29+L29+N29+O29</f>
        <v>0</v>
      </c>
      <c r="AA29" s="51">
        <f>C29</f>
        <v>0</v>
      </c>
      <c r="AC29" s="36">
        <v>0</v>
      </c>
      <c r="AD29" s="36">
        <v>0</v>
      </c>
      <c r="AE29" s="36">
        <f>AC29-AD29</f>
        <v>0</v>
      </c>
      <c r="AF29" s="31"/>
    </row>
    <row r="30" spans="1:32" hidden="1" x14ac:dyDescent="0.2">
      <c r="A30" s="34"/>
      <c r="B30" s="35">
        <f t="shared" ref="B30:J30" si="5">SUM(B29)</f>
        <v>0</v>
      </c>
      <c r="C30" s="35">
        <f t="shared" si="5"/>
        <v>0</v>
      </c>
      <c r="D30" s="35">
        <f t="shared" si="5"/>
        <v>0</v>
      </c>
      <c r="E30" s="35">
        <f t="shared" si="5"/>
        <v>0</v>
      </c>
      <c r="F30" s="35">
        <f t="shared" si="5"/>
        <v>0</v>
      </c>
      <c r="G30" s="35">
        <f t="shared" si="5"/>
        <v>0</v>
      </c>
      <c r="H30" s="35">
        <f t="shared" si="5"/>
        <v>0</v>
      </c>
      <c r="I30" s="35">
        <f t="shared" si="5"/>
        <v>0</v>
      </c>
      <c r="J30" s="35">
        <f t="shared" si="5"/>
        <v>0</v>
      </c>
      <c r="K30" s="35">
        <f t="shared" ref="K30:P30" si="6">SUM(K29)</f>
        <v>0</v>
      </c>
      <c r="L30" s="35">
        <f t="shared" si="6"/>
        <v>0</v>
      </c>
      <c r="M30" s="35">
        <f t="shared" si="6"/>
        <v>0</v>
      </c>
      <c r="N30" s="35">
        <f t="shared" si="6"/>
        <v>0</v>
      </c>
      <c r="O30" s="35">
        <f>SUM(O29)</f>
        <v>0</v>
      </c>
      <c r="P30" s="35">
        <f t="shared" si="6"/>
        <v>0</v>
      </c>
      <c r="T30" s="35">
        <f>SUM(T29)</f>
        <v>0</v>
      </c>
      <c r="U30" s="35">
        <f>SUM(U29)</f>
        <v>0</v>
      </c>
      <c r="V30" s="35">
        <f>SUM(V29)</f>
        <v>0</v>
      </c>
      <c r="W30" s="51">
        <f t="shared" si="0"/>
        <v>0</v>
      </c>
      <c r="X30" s="35">
        <f>SUM(X29)</f>
        <v>0</v>
      </c>
      <c r="Y30" s="35">
        <f>SUM(Y29)</f>
        <v>0</v>
      </c>
      <c r="Z30" s="35">
        <f>SUM(Z29)</f>
        <v>0</v>
      </c>
      <c r="AA30" s="35">
        <f>SUM(AA29)</f>
        <v>0</v>
      </c>
      <c r="AC30" s="31">
        <f>SUM(AC29)</f>
        <v>0</v>
      </c>
      <c r="AD30" s="31">
        <f>SUM(AD29)</f>
        <v>0</v>
      </c>
      <c r="AE30" s="31">
        <f>SUM(AE29)</f>
        <v>0</v>
      </c>
      <c r="AF30" s="31"/>
    </row>
    <row r="31" spans="1:32" ht="12" thickBot="1" x14ac:dyDescent="0.25">
      <c r="A31" s="38" t="s">
        <v>67</v>
      </c>
      <c r="B31" s="41">
        <f t="shared" ref="B31:P31" si="7">B25+B30</f>
        <v>-1520945</v>
      </c>
      <c r="C31" s="41">
        <f t="shared" si="7"/>
        <v>-1621608</v>
      </c>
      <c r="D31" s="41">
        <f t="shared" si="7"/>
        <v>0</v>
      </c>
      <c r="E31" s="41">
        <f t="shared" si="7"/>
        <v>0</v>
      </c>
      <c r="F31" s="41">
        <f t="shared" si="7"/>
        <v>-2366</v>
      </c>
      <c r="G31" s="41">
        <f t="shared" si="7"/>
        <v>488586</v>
      </c>
      <c r="H31" s="41">
        <f t="shared" si="7"/>
        <v>-504033</v>
      </c>
      <c r="I31" s="41">
        <f t="shared" si="7"/>
        <v>-1477</v>
      </c>
      <c r="J31" s="41">
        <f t="shared" si="7"/>
        <v>-1548</v>
      </c>
      <c r="K31" s="41">
        <f t="shared" si="7"/>
        <v>-626</v>
      </c>
      <c r="L31" s="41">
        <f t="shared" si="7"/>
        <v>-406</v>
      </c>
      <c r="M31" s="41">
        <f t="shared" si="7"/>
        <v>-280105</v>
      </c>
      <c r="N31" s="41">
        <f t="shared" si="7"/>
        <v>-406</v>
      </c>
      <c r="O31" s="41">
        <f>O25+O30</f>
        <v>-1487</v>
      </c>
      <c r="P31" s="41">
        <f t="shared" si="7"/>
        <v>-3446421</v>
      </c>
      <c r="R31" s="31">
        <f>SUM(R7:R30)</f>
        <v>0</v>
      </c>
      <c r="S31" s="31">
        <f>SUM(S7:S30)</f>
        <v>-340009</v>
      </c>
      <c r="T31" s="41">
        <f>T25+T30</f>
        <v>0</v>
      </c>
      <c r="U31" s="41">
        <f>U25+U30</f>
        <v>-3786430</v>
      </c>
      <c r="V31" s="41">
        <f>V25+V30</f>
        <v>0</v>
      </c>
      <c r="W31" s="51">
        <f>SUM(X31:AA31)</f>
        <v>-3446421</v>
      </c>
      <c r="X31" s="41">
        <f>X25+X30</f>
        <v>-298577</v>
      </c>
      <c r="Y31" s="41">
        <f>Y25+Y30</f>
        <v>-2992</v>
      </c>
      <c r="Z31" s="41">
        <f>Z25+Z30</f>
        <v>-1523244</v>
      </c>
      <c r="AA31" s="41">
        <f>AA25+AA30</f>
        <v>-1621608</v>
      </c>
      <c r="AC31" s="41">
        <f>AC25+AC30</f>
        <v>-10483</v>
      </c>
      <c r="AD31" s="41">
        <f>AD25+AD30</f>
        <v>-4304</v>
      </c>
      <c r="AE31" s="41">
        <f>AE25+AE30</f>
        <v>-6179</v>
      </c>
      <c r="AF31" s="41">
        <f>AF25+AF30</f>
        <v>-4644</v>
      </c>
    </row>
    <row r="32" spans="1:32" ht="12" thickTop="1" x14ac:dyDescent="0.2">
      <c r="A32" s="34" t="s">
        <v>52</v>
      </c>
      <c r="R32" s="31">
        <f>S31-R31</f>
        <v>-340009</v>
      </c>
      <c r="W32" s="51"/>
      <c r="AF32" s="44"/>
    </row>
    <row r="33" spans="1:32" x14ac:dyDescent="0.2">
      <c r="A33" s="34" t="s">
        <v>53</v>
      </c>
      <c r="C33" s="31">
        <f>C31*0.3</f>
        <v>-486482.39999999997</v>
      </c>
      <c r="O33" s="52" t="s">
        <v>892</v>
      </c>
      <c r="U33" s="31">
        <f>U31-U34</f>
        <v>-3197945</v>
      </c>
      <c r="W33" s="51">
        <f>S14</f>
        <v>2270000</v>
      </c>
      <c r="AB33" s="64" t="s">
        <v>397</v>
      </c>
      <c r="AC33" s="31">
        <v>-10115</v>
      </c>
      <c r="AD33" s="31">
        <v>-4042</v>
      </c>
      <c r="AE33" s="31">
        <f>AC33-AD33</f>
        <v>-6073</v>
      </c>
      <c r="AF33" s="31">
        <v>-4566</v>
      </c>
    </row>
    <row r="34" spans="1:32" x14ac:dyDescent="0.2">
      <c r="A34" s="34" t="s">
        <v>54</v>
      </c>
      <c r="O34" s="52" t="s">
        <v>360</v>
      </c>
      <c r="U34" s="31">
        <v>-588485</v>
      </c>
      <c r="W34" s="51">
        <f>W31+W33</f>
        <v>-1176421</v>
      </c>
      <c r="AB34" s="64" t="s">
        <v>398</v>
      </c>
      <c r="AC34" s="31">
        <v>-368</v>
      </c>
      <c r="AD34" s="31">
        <v>-262</v>
      </c>
      <c r="AE34" s="36">
        <f>AC34-AD34</f>
        <v>-106</v>
      </c>
      <c r="AF34" s="31">
        <v>-78</v>
      </c>
    </row>
    <row r="35" spans="1:32" ht="12" thickBot="1" x14ac:dyDescent="0.25">
      <c r="A35" s="34"/>
      <c r="U35" s="41">
        <f>SUM(U33:U34)</f>
        <v>-3786430</v>
      </c>
      <c r="AC35" s="41">
        <f>SUM(AC33:AC34)</f>
        <v>-10483</v>
      </c>
      <c r="AD35" s="41">
        <f>SUM(AD33:AD34)</f>
        <v>-4304</v>
      </c>
      <c r="AE35" s="41">
        <f>SUM(AE33:AE34)</f>
        <v>-6179</v>
      </c>
      <c r="AF35" s="41">
        <f>SUM(AF33:AF34)</f>
        <v>-4644</v>
      </c>
    </row>
    <row r="36" spans="1:32" ht="12" hidden="1" outlineLevel="1" thickTop="1" x14ac:dyDescent="0.2">
      <c r="A36" s="38" t="s">
        <v>55</v>
      </c>
      <c r="AE36" s="64" t="s">
        <v>490</v>
      </c>
    </row>
    <row r="37" spans="1:32" hidden="1" outlineLevel="1" x14ac:dyDescent="0.2">
      <c r="A37" s="38" t="s">
        <v>56</v>
      </c>
    </row>
    <row r="38" spans="1:32" hidden="1" outlineLevel="1" x14ac:dyDescent="0.2">
      <c r="A38" s="34" t="s">
        <v>75</v>
      </c>
      <c r="U38" s="42">
        <v>0</v>
      </c>
    </row>
    <row r="39" spans="1:32" hidden="1" outlineLevel="1" x14ac:dyDescent="0.2">
      <c r="A39" s="34" t="s">
        <v>76</v>
      </c>
      <c r="U39" s="42">
        <f>SUM(U38)</f>
        <v>0</v>
      </c>
    </row>
    <row r="40" spans="1:32" hidden="1" x14ac:dyDescent="0.2"/>
    <row r="41" spans="1:32" ht="12" thickTop="1" x14ac:dyDescent="0.2"/>
    <row r="42" spans="1:32" x14ac:dyDescent="0.2">
      <c r="B42" s="79"/>
      <c r="C42" s="79"/>
    </row>
    <row r="43" spans="1:32" x14ac:dyDescent="0.2">
      <c r="A43" s="34"/>
      <c r="B43" s="43"/>
      <c r="C43" s="43"/>
    </row>
    <row r="44" spans="1:32" x14ac:dyDescent="0.2">
      <c r="A44" s="34"/>
    </row>
  </sheetData>
  <mergeCells count="3">
    <mergeCell ref="A1:U1"/>
    <mergeCell ref="A2:U2"/>
    <mergeCell ref="R4:S4"/>
  </mergeCells>
  <pageMargins left="0.15748031496062992" right="0.19685039370078741" top="0.55118110236220474"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83"/>
  <sheetViews>
    <sheetView topLeftCell="A15" workbookViewId="0">
      <selection sqref="A1:G1"/>
    </sheetView>
  </sheetViews>
  <sheetFormatPr defaultRowHeight="12.75" outlineLevelRow="1" x14ac:dyDescent="0.2"/>
  <cols>
    <col min="1" max="1" width="47.5703125" style="188" customWidth="1"/>
    <col min="2" max="2" width="7.28515625" style="186" customWidth="1"/>
    <col min="3" max="3" width="4.140625" style="188" customWidth="1"/>
    <col min="4" max="4" width="10.28515625" style="188" customWidth="1"/>
    <col min="5" max="5" width="7.140625" style="188" customWidth="1"/>
    <col min="6" max="6" width="10.140625" style="188" customWidth="1"/>
    <col min="7" max="7" width="1.7109375" style="188" customWidth="1"/>
    <col min="8" max="16384" width="9.140625" style="188"/>
  </cols>
  <sheetData>
    <row r="1" spans="1:10" ht="15.75" x14ac:dyDescent="0.25">
      <c r="A1" s="624" t="s">
        <v>2</v>
      </c>
      <c r="B1" s="624"/>
      <c r="C1" s="624"/>
      <c r="D1" s="624"/>
      <c r="E1" s="624"/>
      <c r="F1" s="624"/>
      <c r="G1" s="624"/>
    </row>
    <row r="2" spans="1:10" ht="15" x14ac:dyDescent="0.25">
      <c r="A2" s="617" t="s">
        <v>116</v>
      </c>
      <c r="B2" s="617"/>
      <c r="C2" s="617"/>
      <c r="D2" s="617"/>
      <c r="E2" s="617"/>
      <c r="F2" s="617"/>
      <c r="G2" s="617"/>
    </row>
    <row r="3" spans="1:10" s="325" customFormat="1" ht="8.25" x14ac:dyDescent="0.15">
      <c r="A3" s="23"/>
      <c r="B3" s="262"/>
      <c r="C3" s="23"/>
      <c r="D3" s="23"/>
      <c r="E3" s="23"/>
      <c r="F3" s="23"/>
      <c r="G3" s="23"/>
    </row>
    <row r="4" spans="1:10" ht="15.75" x14ac:dyDescent="0.25">
      <c r="A4" s="618" t="s">
        <v>123</v>
      </c>
      <c r="B4" s="618"/>
      <c r="C4" s="618"/>
      <c r="D4" s="618"/>
      <c r="E4" s="618"/>
      <c r="F4" s="618"/>
      <c r="G4" s="618"/>
    </row>
    <row r="5" spans="1:10" ht="15.75" x14ac:dyDescent="0.25">
      <c r="A5" s="619" t="s">
        <v>1306</v>
      </c>
      <c r="B5" s="619"/>
      <c r="C5" s="619"/>
      <c r="D5" s="619"/>
      <c r="E5" s="619"/>
      <c r="F5" s="619"/>
      <c r="G5" s="619"/>
    </row>
    <row r="6" spans="1:10" s="153" customFormat="1" ht="11.25" x14ac:dyDescent="0.2">
      <c r="A6" s="25"/>
      <c r="B6" s="263"/>
      <c r="C6" s="25"/>
      <c r="D6" s="25"/>
      <c r="E6" s="25"/>
      <c r="F6" s="25"/>
      <c r="G6" s="25"/>
    </row>
    <row r="7" spans="1:10" x14ac:dyDescent="0.2">
      <c r="A7" s="604"/>
      <c r="B7" s="606"/>
      <c r="C7" s="7"/>
      <c r="D7" s="2" t="s">
        <v>141</v>
      </c>
      <c r="E7" s="2"/>
      <c r="F7" s="2" t="s">
        <v>143</v>
      </c>
      <c r="G7" s="7"/>
    </row>
    <row r="8" spans="1:10" x14ac:dyDescent="0.2">
      <c r="A8" s="604"/>
      <c r="B8" s="606"/>
      <c r="C8" s="7"/>
      <c r="D8" s="2" t="s">
        <v>142</v>
      </c>
      <c r="E8" s="2"/>
      <c r="F8" s="2" t="s">
        <v>433</v>
      </c>
      <c r="G8" s="7"/>
    </row>
    <row r="9" spans="1:10" x14ac:dyDescent="0.2">
      <c r="A9" s="604"/>
      <c r="B9" s="603" t="s">
        <v>17</v>
      </c>
      <c r="C9" s="7"/>
      <c r="D9" s="88" t="s">
        <v>1304</v>
      </c>
      <c r="E9" s="3"/>
      <c r="F9" s="2" t="s">
        <v>1103</v>
      </c>
      <c r="G9" s="7"/>
    </row>
    <row r="10" spans="1:10" x14ac:dyDescent="0.2">
      <c r="A10" s="604"/>
      <c r="B10" s="606"/>
      <c r="C10" s="7"/>
      <c r="D10" s="2" t="s">
        <v>1</v>
      </c>
      <c r="E10" s="3"/>
      <c r="F10" s="2" t="s">
        <v>1</v>
      </c>
      <c r="G10" s="7"/>
    </row>
    <row r="11" spans="1:10" x14ac:dyDescent="0.2">
      <c r="A11" s="604"/>
      <c r="B11" s="606"/>
      <c r="C11" s="7"/>
      <c r="D11" s="2" t="s">
        <v>79</v>
      </c>
      <c r="E11" s="3"/>
      <c r="F11" s="2" t="s">
        <v>80</v>
      </c>
      <c r="G11" s="7"/>
    </row>
    <row r="12" spans="1:10" x14ac:dyDescent="0.2">
      <c r="A12" s="13" t="s">
        <v>33</v>
      </c>
      <c r="B12" s="603"/>
      <c r="C12" s="275"/>
      <c r="F12" s="195"/>
    </row>
    <row r="13" spans="1:10" x14ac:dyDescent="0.2">
      <c r="A13" s="13" t="s">
        <v>42</v>
      </c>
      <c r="B13" s="606"/>
      <c r="D13" s="183"/>
      <c r="E13" s="241"/>
      <c r="F13" s="183"/>
      <c r="G13" s="241"/>
    </row>
    <row r="14" spans="1:10" x14ac:dyDescent="0.2">
      <c r="A14" s="607" t="s">
        <v>8</v>
      </c>
      <c r="B14" s="606"/>
      <c r="D14" s="27">
        <v>59732</v>
      </c>
      <c r="E14" s="196"/>
      <c r="F14" s="27">
        <f>60440</f>
        <v>60440</v>
      </c>
      <c r="G14" s="241"/>
      <c r="J14" s="241"/>
    </row>
    <row r="15" spans="1:10" x14ac:dyDescent="0.2">
      <c r="A15" s="607" t="s">
        <v>347</v>
      </c>
      <c r="B15" s="606"/>
      <c r="D15" s="27">
        <v>63787</v>
      </c>
      <c r="E15" s="196"/>
      <c r="F15" s="27">
        <f>63769</f>
        <v>63769</v>
      </c>
      <c r="G15" s="241"/>
      <c r="J15" s="241"/>
    </row>
    <row r="16" spans="1:10" x14ac:dyDescent="0.2">
      <c r="A16" s="608" t="s">
        <v>68</v>
      </c>
      <c r="B16" s="606"/>
      <c r="D16" s="27">
        <v>4742</v>
      </c>
      <c r="E16" s="196"/>
      <c r="F16" s="27">
        <f>4758</f>
        <v>4758</v>
      </c>
      <c r="G16" s="241"/>
    </row>
    <row r="17" spans="1:7" x14ac:dyDescent="0.2">
      <c r="A17" s="607" t="s">
        <v>120</v>
      </c>
      <c r="B17" s="606"/>
      <c r="D17" s="27">
        <v>5573</v>
      </c>
      <c r="E17" s="196"/>
      <c r="F17" s="27">
        <f>5503</f>
        <v>5503</v>
      </c>
      <c r="G17" s="241"/>
    </row>
    <row r="18" spans="1:7" x14ac:dyDescent="0.2">
      <c r="A18" s="607" t="s">
        <v>1307</v>
      </c>
      <c r="B18" s="606"/>
      <c r="D18" s="27">
        <v>518</v>
      </c>
      <c r="E18" s="196"/>
      <c r="F18" s="27">
        <f>518</f>
        <v>518</v>
      </c>
      <c r="G18" s="241"/>
    </row>
    <row r="19" spans="1:7" x14ac:dyDescent="0.2">
      <c r="A19" s="607"/>
      <c r="B19" s="606"/>
      <c r="D19" s="96">
        <f>SUM(D14:D18)</f>
        <v>134352</v>
      </c>
      <c r="E19" s="196"/>
      <c r="F19" s="96">
        <f>SUM(F14:F18)</f>
        <v>134988</v>
      </c>
      <c r="G19" s="241"/>
    </row>
    <row r="20" spans="1:7" x14ac:dyDescent="0.2">
      <c r="A20" s="607"/>
      <c r="B20" s="606"/>
      <c r="D20" s="28"/>
      <c r="E20" s="196"/>
      <c r="F20" s="28"/>
      <c r="G20" s="241"/>
    </row>
    <row r="21" spans="1:7" x14ac:dyDescent="0.2">
      <c r="A21" s="13" t="s">
        <v>40</v>
      </c>
      <c r="B21" s="606"/>
      <c r="D21" s="28"/>
      <c r="E21" s="196"/>
      <c r="F21" s="28"/>
      <c r="G21" s="241"/>
    </row>
    <row r="22" spans="1:7" x14ac:dyDescent="0.2">
      <c r="A22" s="608" t="s">
        <v>620</v>
      </c>
      <c r="B22" s="606"/>
      <c r="D22" s="28">
        <v>36126</v>
      </c>
      <c r="E22" s="196"/>
      <c r="F22" s="28">
        <f>36122</f>
        <v>36122</v>
      </c>
      <c r="G22" s="241"/>
    </row>
    <row r="23" spans="1:7" x14ac:dyDescent="0.2">
      <c r="A23" s="607" t="s">
        <v>9</v>
      </c>
      <c r="B23" s="606"/>
      <c r="D23" s="27">
        <v>30296</v>
      </c>
      <c r="E23" s="196"/>
      <c r="F23" s="27">
        <f>33507</f>
        <v>33507</v>
      </c>
      <c r="G23" s="241"/>
    </row>
    <row r="24" spans="1:7" x14ac:dyDescent="0.2">
      <c r="A24" s="607" t="s">
        <v>77</v>
      </c>
      <c r="B24" s="606"/>
      <c r="D24" s="27">
        <v>3440</v>
      </c>
      <c r="E24" s="196"/>
      <c r="F24" s="27">
        <f>12720</f>
        <v>12720</v>
      </c>
      <c r="G24" s="241"/>
    </row>
    <row r="25" spans="1:7" x14ac:dyDescent="0.2">
      <c r="A25" s="608" t="s">
        <v>882</v>
      </c>
      <c r="B25" s="606"/>
      <c r="D25" s="27">
        <v>3323</v>
      </c>
      <c r="E25" s="196"/>
      <c r="F25" s="27">
        <f>1512</f>
        <v>1512</v>
      </c>
      <c r="G25" s="241"/>
    </row>
    <row r="26" spans="1:7" x14ac:dyDescent="0.2">
      <c r="A26" s="608" t="s">
        <v>32</v>
      </c>
      <c r="B26" s="606"/>
      <c r="D26" s="27">
        <v>40</v>
      </c>
      <c r="E26" s="196"/>
      <c r="F26" s="27">
        <f>68</f>
        <v>68</v>
      </c>
      <c r="G26" s="241"/>
    </row>
    <row r="27" spans="1:7" x14ac:dyDescent="0.2">
      <c r="A27" s="607" t="s">
        <v>16</v>
      </c>
      <c r="B27" s="606"/>
      <c r="D27" s="27">
        <v>9962</v>
      </c>
      <c r="E27" s="196"/>
      <c r="F27" s="27">
        <f>8024</f>
        <v>8024</v>
      </c>
      <c r="G27" s="241"/>
    </row>
    <row r="28" spans="1:7" x14ac:dyDescent="0.2">
      <c r="A28" s="608"/>
      <c r="B28" s="606"/>
      <c r="D28" s="27"/>
      <c r="E28" s="196"/>
      <c r="F28" s="27"/>
      <c r="G28" s="241"/>
    </row>
    <row r="29" spans="1:7" x14ac:dyDescent="0.2">
      <c r="A29" s="607"/>
      <c r="B29" s="606"/>
      <c r="D29" s="125">
        <f>SUM(D22:D28)</f>
        <v>83187</v>
      </c>
      <c r="E29" s="196"/>
      <c r="F29" s="125">
        <f>SUM(F22:F28)</f>
        <v>91953</v>
      </c>
      <c r="G29" s="241"/>
    </row>
    <row r="30" spans="1:7" hidden="1" outlineLevel="1" x14ac:dyDescent="0.2">
      <c r="A30" s="608" t="s">
        <v>622</v>
      </c>
      <c r="B30" s="606"/>
      <c r="D30" s="28"/>
      <c r="E30" s="324"/>
      <c r="F30" s="28"/>
      <c r="G30" s="241"/>
    </row>
    <row r="31" spans="1:7" hidden="1" outlineLevel="1" x14ac:dyDescent="0.2">
      <c r="A31" s="608" t="s">
        <v>548</v>
      </c>
      <c r="B31" s="606">
        <v>14</v>
      </c>
      <c r="D31" s="28">
        <v>0</v>
      </c>
      <c r="E31" s="196"/>
      <c r="F31" s="28">
        <v>0</v>
      </c>
      <c r="G31" s="241"/>
    </row>
    <row r="32" spans="1:7" hidden="1" outlineLevel="1" x14ac:dyDescent="0.2">
      <c r="A32" s="608"/>
      <c r="B32" s="606"/>
      <c r="D32" s="96">
        <f>D29+D31</f>
        <v>83187</v>
      </c>
      <c r="E32" s="196"/>
      <c r="F32" s="96">
        <f>F29+F31</f>
        <v>91953</v>
      </c>
      <c r="G32" s="241"/>
    </row>
    <row r="33" spans="1:7" collapsed="1" x14ac:dyDescent="0.2">
      <c r="A33" s="608"/>
      <c r="B33" s="606"/>
      <c r="D33" s="28"/>
      <c r="E33" s="196"/>
      <c r="F33" s="28"/>
      <c r="G33" s="241"/>
    </row>
    <row r="34" spans="1:7" ht="13.5" thickBot="1" x14ac:dyDescent="0.25">
      <c r="A34" s="13" t="s">
        <v>38</v>
      </c>
      <c r="B34" s="603"/>
      <c r="C34" s="275"/>
      <c r="D34" s="124">
        <f>D19+D32</f>
        <v>217539</v>
      </c>
      <c r="E34" s="196"/>
      <c r="F34" s="124">
        <f>F19+F32</f>
        <v>226941</v>
      </c>
      <c r="G34" s="241"/>
    </row>
    <row r="35" spans="1:7" ht="13.5" thickTop="1" x14ac:dyDescent="0.2">
      <c r="A35" s="607"/>
      <c r="B35" s="606"/>
      <c r="D35" s="27"/>
      <c r="E35" s="196"/>
      <c r="F35" s="196"/>
      <c r="G35" s="241"/>
    </row>
    <row r="36" spans="1:7" x14ac:dyDescent="0.2">
      <c r="A36" s="13" t="s">
        <v>37</v>
      </c>
      <c r="B36" s="606"/>
      <c r="D36" s="27"/>
      <c r="E36" s="196"/>
      <c r="F36" s="196"/>
      <c r="G36" s="241"/>
    </row>
    <row r="37" spans="1:7" x14ac:dyDescent="0.2">
      <c r="A37" s="13" t="s">
        <v>43</v>
      </c>
      <c r="B37" s="606"/>
      <c r="D37" s="28"/>
      <c r="E37" s="324"/>
      <c r="F37" s="324"/>
      <c r="G37" s="241"/>
    </row>
    <row r="38" spans="1:7" x14ac:dyDescent="0.2">
      <c r="A38" s="607" t="s">
        <v>522</v>
      </c>
      <c r="B38" s="606">
        <v>22</v>
      </c>
      <c r="D38" s="28">
        <v>13217</v>
      </c>
      <c r="E38" s="324"/>
      <c r="F38" s="28">
        <f>19169</f>
        <v>19169</v>
      </c>
      <c r="G38" s="241"/>
    </row>
    <row r="39" spans="1:7" x14ac:dyDescent="0.2">
      <c r="A39" s="607" t="s">
        <v>78</v>
      </c>
      <c r="B39" s="606"/>
      <c r="D39" s="28">
        <f>8272+28195</f>
        <v>36467</v>
      </c>
      <c r="E39" s="324"/>
      <c r="F39" s="28">
        <f>26834</f>
        <v>26834</v>
      </c>
      <c r="G39" s="241"/>
    </row>
    <row r="40" spans="1:7" x14ac:dyDescent="0.2">
      <c r="A40" s="608" t="s">
        <v>20</v>
      </c>
      <c r="B40" s="606"/>
      <c r="D40" s="28">
        <v>85</v>
      </c>
      <c r="E40" s="324"/>
      <c r="F40" s="28">
        <f>1006</f>
        <v>1006</v>
      </c>
      <c r="G40" s="241"/>
    </row>
    <row r="41" spans="1:7" x14ac:dyDescent="0.2">
      <c r="A41" s="608"/>
      <c r="B41" s="606"/>
      <c r="D41" s="125">
        <f>SUM(D38:D40)</f>
        <v>49769</v>
      </c>
      <c r="E41" s="196"/>
      <c r="F41" s="125">
        <f>SUM(F38:F40)</f>
        <v>47009</v>
      </c>
      <c r="G41" s="241"/>
    </row>
    <row r="42" spans="1:7" hidden="1" outlineLevel="1" x14ac:dyDescent="0.2">
      <c r="A42" s="608" t="s">
        <v>623</v>
      </c>
      <c r="B42" s="606"/>
      <c r="D42" s="28"/>
      <c r="E42" s="324"/>
      <c r="F42" s="28"/>
      <c r="G42" s="241"/>
    </row>
    <row r="43" spans="1:7" hidden="1" outlineLevel="1" x14ac:dyDescent="0.2">
      <c r="A43" s="608" t="s">
        <v>624</v>
      </c>
      <c r="B43" s="606"/>
      <c r="D43" s="28">
        <v>0</v>
      </c>
      <c r="E43" s="324"/>
      <c r="F43" s="28">
        <v>0</v>
      </c>
      <c r="G43" s="241"/>
    </row>
    <row r="44" spans="1:7" hidden="1" outlineLevel="1" x14ac:dyDescent="0.2">
      <c r="A44" s="608"/>
      <c r="B44" s="606"/>
      <c r="D44" s="96">
        <f>D41+D43</f>
        <v>49769</v>
      </c>
      <c r="E44" s="324"/>
      <c r="F44" s="96">
        <f>F41+F43</f>
        <v>47009</v>
      </c>
      <c r="G44" s="241"/>
    </row>
    <row r="45" spans="1:7" collapsed="1" x14ac:dyDescent="0.2">
      <c r="A45" s="607"/>
      <c r="B45" s="606"/>
      <c r="D45" s="27"/>
      <c r="E45" s="196"/>
      <c r="F45" s="27"/>
      <c r="G45" s="241"/>
    </row>
    <row r="46" spans="1:7" x14ac:dyDescent="0.2">
      <c r="A46" s="607" t="s">
        <v>675</v>
      </c>
      <c r="B46" s="606"/>
      <c r="D46" s="95">
        <f>D32-D44</f>
        <v>33418</v>
      </c>
      <c r="E46" s="196"/>
      <c r="F46" s="95">
        <f>F32-F44</f>
        <v>44944</v>
      </c>
      <c r="G46" s="241"/>
    </row>
    <row r="47" spans="1:7" x14ac:dyDescent="0.2">
      <c r="A47" s="607"/>
      <c r="B47" s="606"/>
      <c r="D47" s="27"/>
      <c r="E47" s="196"/>
      <c r="F47" s="196"/>
      <c r="G47" s="241"/>
    </row>
    <row r="48" spans="1:7" x14ac:dyDescent="0.2">
      <c r="A48" s="612" t="s">
        <v>23</v>
      </c>
      <c r="B48" s="606"/>
      <c r="D48" s="27"/>
      <c r="E48" s="196"/>
      <c r="F48" s="196"/>
      <c r="G48" s="241"/>
    </row>
    <row r="49" spans="1:7" x14ac:dyDescent="0.2">
      <c r="A49" s="608" t="s">
        <v>522</v>
      </c>
      <c r="B49" s="606">
        <v>22</v>
      </c>
      <c r="D49" s="27">
        <v>15311</v>
      </c>
      <c r="E49" s="196"/>
      <c r="F49" s="27">
        <f>10679</f>
        <v>10679</v>
      </c>
      <c r="G49" s="241"/>
    </row>
    <row r="50" spans="1:7" x14ac:dyDescent="0.2">
      <c r="A50" s="608" t="s">
        <v>278</v>
      </c>
      <c r="B50" s="606"/>
      <c r="D50" s="27">
        <v>0</v>
      </c>
      <c r="E50" s="196"/>
      <c r="F50" s="27">
        <f>14543</f>
        <v>14543</v>
      </c>
      <c r="G50" s="241"/>
    </row>
    <row r="51" spans="1:7" x14ac:dyDescent="0.2">
      <c r="A51" s="608" t="s">
        <v>22</v>
      </c>
      <c r="B51" s="606"/>
      <c r="D51" s="95">
        <v>7524</v>
      </c>
      <c r="E51" s="196"/>
      <c r="F51" s="95">
        <f>7544</f>
        <v>7544</v>
      </c>
      <c r="G51" s="241"/>
    </row>
    <row r="52" spans="1:7" x14ac:dyDescent="0.2">
      <c r="A52" s="608"/>
      <c r="B52" s="606"/>
      <c r="D52" s="96">
        <f>SUM(D49:D51)</f>
        <v>22835</v>
      </c>
      <c r="E52" s="196"/>
      <c r="F52" s="96">
        <f>SUM(F49:F51)</f>
        <v>32766</v>
      </c>
      <c r="G52" s="241"/>
    </row>
    <row r="53" spans="1:7" x14ac:dyDescent="0.2">
      <c r="A53" s="607"/>
      <c r="B53" s="606"/>
      <c r="D53" s="27"/>
      <c r="E53" s="196"/>
      <c r="F53" s="27"/>
      <c r="G53" s="241"/>
    </row>
    <row r="54" spans="1:7" x14ac:dyDescent="0.2">
      <c r="A54" s="612" t="s">
        <v>44</v>
      </c>
      <c r="B54" s="606"/>
      <c r="D54" s="96">
        <f>D52+D44</f>
        <v>72604</v>
      </c>
      <c r="E54" s="324"/>
      <c r="F54" s="96">
        <f>F52+F44</f>
        <v>79775</v>
      </c>
      <c r="G54" s="241"/>
    </row>
    <row r="55" spans="1:7" x14ac:dyDescent="0.2">
      <c r="A55" s="612"/>
      <c r="B55" s="606"/>
      <c r="D55" s="28"/>
      <c r="E55" s="324"/>
      <c r="F55" s="28"/>
      <c r="G55" s="241"/>
    </row>
    <row r="56" spans="1:7" ht="13.5" thickBot="1" x14ac:dyDescent="0.25">
      <c r="A56" s="612" t="s">
        <v>605</v>
      </c>
      <c r="B56" s="606"/>
      <c r="D56" s="160">
        <f>D34-D54</f>
        <v>144935</v>
      </c>
      <c r="E56" s="196"/>
      <c r="F56" s="160">
        <f>F34-F54</f>
        <v>147166</v>
      </c>
      <c r="G56" s="241"/>
    </row>
    <row r="57" spans="1:7" x14ac:dyDescent="0.2">
      <c r="A57" s="607"/>
      <c r="B57" s="606"/>
      <c r="D57" s="27"/>
      <c r="E57" s="196"/>
      <c r="F57" s="196"/>
      <c r="G57" s="241"/>
    </row>
    <row r="58" spans="1:7" x14ac:dyDescent="0.2">
      <c r="A58" s="13" t="s">
        <v>625</v>
      </c>
      <c r="B58" s="606"/>
      <c r="D58" s="28"/>
      <c r="E58" s="324"/>
      <c r="F58" s="324"/>
      <c r="G58" s="241"/>
    </row>
    <row r="59" spans="1:7" x14ac:dyDescent="0.2">
      <c r="A59" s="13" t="s">
        <v>81</v>
      </c>
      <c r="B59" s="606"/>
      <c r="D59" s="28"/>
      <c r="E59" s="324"/>
      <c r="F59" s="324"/>
      <c r="G59" s="241"/>
    </row>
    <row r="60" spans="1:7" x14ac:dyDescent="0.2">
      <c r="A60" s="607" t="s">
        <v>14</v>
      </c>
      <c r="B60" s="606"/>
      <c r="D60" s="28">
        <v>195935</v>
      </c>
      <c r="E60" s="324"/>
      <c r="F60" s="28">
        <v>195935</v>
      </c>
      <c r="G60" s="241"/>
    </row>
    <row r="61" spans="1:7" x14ac:dyDescent="0.2">
      <c r="A61" s="607" t="s">
        <v>25</v>
      </c>
      <c r="B61" s="606"/>
      <c r="D61" s="28">
        <v>3806</v>
      </c>
      <c r="E61" s="324"/>
      <c r="F61" s="28">
        <v>3806</v>
      </c>
      <c r="G61" s="241"/>
    </row>
    <row r="62" spans="1:7" x14ac:dyDescent="0.2">
      <c r="A62" s="608" t="s">
        <v>71</v>
      </c>
      <c r="B62" s="606">
        <v>7</v>
      </c>
      <c r="D62" s="28">
        <v>-3280</v>
      </c>
      <c r="E62" s="324"/>
      <c r="F62" s="28">
        <v>-3280</v>
      </c>
      <c r="G62" s="241"/>
    </row>
    <row r="63" spans="1:7" x14ac:dyDescent="0.2">
      <c r="A63" s="608" t="s">
        <v>1204</v>
      </c>
      <c r="B63" s="606"/>
      <c r="D63" s="28">
        <v>-8141</v>
      </c>
      <c r="E63" s="324"/>
      <c r="F63" s="28">
        <v>-8141</v>
      </c>
      <c r="G63" s="241"/>
    </row>
    <row r="64" spans="1:7" x14ac:dyDescent="0.2">
      <c r="A64" s="608" t="s">
        <v>1308</v>
      </c>
      <c r="B64" s="606"/>
      <c r="D64" s="28">
        <v>21277</v>
      </c>
      <c r="E64" s="324"/>
      <c r="F64" s="28">
        <f>21277</f>
        <v>21277</v>
      </c>
      <c r="G64" s="241"/>
    </row>
    <row r="65" spans="1:10" x14ac:dyDescent="0.2">
      <c r="A65" s="607" t="s">
        <v>135</v>
      </c>
      <c r="B65" s="606"/>
      <c r="D65" s="28">
        <v>20494</v>
      </c>
      <c r="E65" s="324"/>
      <c r="F65" s="28">
        <v>20494</v>
      </c>
      <c r="G65" s="241"/>
    </row>
    <row r="66" spans="1:10" x14ac:dyDescent="0.2">
      <c r="A66" s="607" t="s">
        <v>136</v>
      </c>
      <c r="B66" s="603"/>
      <c r="C66" s="275"/>
      <c r="D66" s="95">
        <f>-98179-2041</f>
        <v>-100220</v>
      </c>
      <c r="E66" s="324"/>
      <c r="F66" s="95">
        <f>-98179</f>
        <v>-98179</v>
      </c>
      <c r="G66" s="241"/>
    </row>
    <row r="67" spans="1:10" x14ac:dyDescent="0.2">
      <c r="A67" s="607"/>
      <c r="B67" s="603"/>
      <c r="C67" s="275"/>
      <c r="D67" s="28">
        <f>SUM(D60:D66)</f>
        <v>129871</v>
      </c>
      <c r="E67" s="324"/>
      <c r="F67" s="28">
        <f>SUM(F60:F66)</f>
        <v>131912</v>
      </c>
      <c r="G67" s="241"/>
    </row>
    <row r="68" spans="1:10" x14ac:dyDescent="0.2">
      <c r="A68" s="607"/>
      <c r="B68" s="603"/>
      <c r="C68" s="275"/>
      <c r="D68" s="28"/>
      <c r="E68" s="324"/>
      <c r="F68" s="28"/>
      <c r="G68" s="241"/>
    </row>
    <row r="69" spans="1:10" x14ac:dyDescent="0.2">
      <c r="A69" s="608" t="s">
        <v>361</v>
      </c>
      <c r="B69" s="606"/>
      <c r="C69" s="275"/>
      <c r="D69" s="28">
        <v>15064</v>
      </c>
      <c r="E69" s="324"/>
      <c r="F69" s="28">
        <f>15254</f>
        <v>15254</v>
      </c>
      <c r="G69" s="241"/>
    </row>
    <row r="70" spans="1:10" x14ac:dyDescent="0.2">
      <c r="A70" s="607"/>
      <c r="B70" s="603"/>
      <c r="C70" s="275"/>
      <c r="D70" s="28"/>
      <c r="E70" s="324"/>
      <c r="F70" s="28"/>
      <c r="G70" s="241"/>
    </row>
    <row r="71" spans="1:10" x14ac:dyDescent="0.2">
      <c r="A71" s="612" t="s">
        <v>41</v>
      </c>
      <c r="B71" s="606"/>
      <c r="D71" s="96">
        <f>SUM(D67:D70)</f>
        <v>144935</v>
      </c>
      <c r="E71" s="196"/>
      <c r="F71" s="96">
        <f>SUM(F67:F70)</f>
        <v>147166</v>
      </c>
      <c r="G71" s="241"/>
    </row>
    <row r="72" spans="1:10" x14ac:dyDescent="0.2">
      <c r="A72" s="612"/>
      <c r="B72" s="606"/>
      <c r="D72" s="27"/>
      <c r="E72" s="196"/>
      <c r="F72" s="27"/>
      <c r="G72" s="241"/>
    </row>
    <row r="73" spans="1:10" ht="13.5" thickBot="1" x14ac:dyDescent="0.25">
      <c r="A73" s="612" t="s">
        <v>45</v>
      </c>
      <c r="B73" s="606"/>
      <c r="D73" s="124">
        <f>D71+D54</f>
        <v>217539</v>
      </c>
      <c r="E73" s="196"/>
      <c r="F73" s="124">
        <f>F71+F54</f>
        <v>226941</v>
      </c>
      <c r="G73" s="241"/>
      <c r="H73" s="276">
        <f>F34-F73</f>
        <v>0</v>
      </c>
      <c r="J73" s="241"/>
    </row>
    <row r="74" spans="1:10" ht="13.5" thickTop="1" x14ac:dyDescent="0.2">
      <c r="A74" s="612"/>
      <c r="B74" s="606"/>
      <c r="D74" s="326"/>
      <c r="E74" s="241"/>
      <c r="F74" s="241"/>
      <c r="G74" s="241"/>
      <c r="I74" s="276"/>
    </row>
    <row r="75" spans="1:10" outlineLevel="1" x14ac:dyDescent="0.2">
      <c r="A75" s="612" t="s">
        <v>117</v>
      </c>
      <c r="B75" s="606"/>
      <c r="D75" s="329">
        <v>0.77</v>
      </c>
      <c r="E75" s="383"/>
      <c r="F75" s="329">
        <v>0.43</v>
      </c>
      <c r="G75" s="241"/>
      <c r="I75" s="276"/>
    </row>
    <row r="76" spans="1:10" s="7" customFormat="1" x14ac:dyDescent="0.2">
      <c r="A76" s="379"/>
      <c r="B76" s="186"/>
      <c r="C76" s="188"/>
      <c r="D76" s="183"/>
      <c r="E76" s="241"/>
      <c r="F76" s="241"/>
      <c r="G76" s="241"/>
    </row>
    <row r="77" spans="1:10" s="7" customFormat="1" ht="12.75" customHeight="1" x14ac:dyDescent="0.2">
      <c r="A77" s="614" t="s">
        <v>1309</v>
      </c>
      <c r="B77" s="614"/>
      <c r="C77" s="614"/>
      <c r="D77" s="614"/>
      <c r="E77" s="614"/>
      <c r="F77" s="614"/>
      <c r="G77" s="614"/>
    </row>
    <row r="78" spans="1:10" s="7" customFormat="1" x14ac:dyDescent="0.2">
      <c r="A78" s="614"/>
      <c r="B78" s="614"/>
      <c r="C78" s="614"/>
      <c r="D78" s="614"/>
      <c r="E78" s="614"/>
      <c r="F78" s="614"/>
      <c r="G78" s="614"/>
    </row>
    <row r="79" spans="1:10" x14ac:dyDescent="0.2">
      <c r="A79" s="187"/>
      <c r="B79" s="187"/>
      <c r="C79" s="187"/>
      <c r="D79" s="187"/>
      <c r="E79" s="187"/>
      <c r="F79" s="187"/>
      <c r="G79" s="187"/>
    </row>
    <row r="80" spans="1:10" x14ac:dyDescent="0.2">
      <c r="D80" s="241"/>
      <c r="E80" s="241"/>
      <c r="F80" s="241"/>
      <c r="G80" s="241"/>
    </row>
    <row r="81" spans="2:7" x14ac:dyDescent="0.2">
      <c r="D81" s="241"/>
      <c r="E81" s="241"/>
      <c r="F81" s="241"/>
      <c r="G81" s="241"/>
    </row>
    <row r="82" spans="2:7" x14ac:dyDescent="0.2">
      <c r="D82" s="241"/>
      <c r="E82" s="241"/>
      <c r="F82" s="241"/>
      <c r="G82" s="241"/>
    </row>
    <row r="83" spans="2:7" x14ac:dyDescent="0.2">
      <c r="D83" s="241"/>
      <c r="E83" s="241"/>
      <c r="F83" s="241"/>
      <c r="G83" s="241"/>
    </row>
    <row r="84" spans="2:7" x14ac:dyDescent="0.2">
      <c r="D84" s="241"/>
      <c r="E84" s="241"/>
      <c r="F84" s="241"/>
      <c r="G84" s="241"/>
    </row>
    <row r="85" spans="2:7" x14ac:dyDescent="0.2">
      <c r="D85" s="241"/>
      <c r="E85" s="241"/>
      <c r="F85" s="241"/>
      <c r="G85" s="241"/>
    </row>
    <row r="86" spans="2:7" x14ac:dyDescent="0.2">
      <c r="D86" s="241"/>
      <c r="E86" s="241"/>
      <c r="F86" s="241"/>
      <c r="G86" s="241"/>
    </row>
    <row r="87" spans="2:7" x14ac:dyDescent="0.2">
      <c r="D87" s="241"/>
      <c r="E87" s="241"/>
      <c r="F87" s="241"/>
      <c r="G87" s="241"/>
    </row>
    <row r="88" spans="2:7" x14ac:dyDescent="0.2">
      <c r="D88" s="241"/>
      <c r="E88" s="241"/>
      <c r="F88" s="241"/>
      <c r="G88" s="241"/>
    </row>
    <row r="89" spans="2:7" x14ac:dyDescent="0.2">
      <c r="D89" s="241"/>
      <c r="E89" s="241"/>
      <c r="F89" s="241"/>
      <c r="G89" s="241"/>
    </row>
    <row r="90" spans="2:7" x14ac:dyDescent="0.2">
      <c r="B90" s="188"/>
      <c r="D90" s="241"/>
      <c r="E90" s="241"/>
      <c r="F90" s="241"/>
      <c r="G90" s="241"/>
    </row>
    <row r="91" spans="2:7" x14ac:dyDescent="0.2">
      <c r="B91" s="188"/>
      <c r="D91" s="241"/>
      <c r="E91" s="241"/>
      <c r="F91" s="241"/>
      <c r="G91" s="241"/>
    </row>
    <row r="92" spans="2:7" x14ac:dyDescent="0.2">
      <c r="B92" s="188"/>
      <c r="D92" s="241"/>
      <c r="E92" s="241"/>
      <c r="F92" s="241"/>
      <c r="G92" s="241"/>
    </row>
    <row r="93" spans="2:7" x14ac:dyDescent="0.2">
      <c r="B93" s="188"/>
      <c r="D93" s="241"/>
      <c r="E93" s="241"/>
      <c r="F93" s="241"/>
      <c r="G93" s="241"/>
    </row>
    <row r="94" spans="2:7" x14ac:dyDescent="0.2">
      <c r="B94" s="188"/>
      <c r="D94" s="241"/>
      <c r="E94" s="241"/>
      <c r="F94" s="241"/>
      <c r="G94" s="241"/>
    </row>
    <row r="95" spans="2:7" x14ac:dyDescent="0.2">
      <c r="B95" s="188"/>
      <c r="D95" s="241"/>
      <c r="E95" s="241"/>
      <c r="F95" s="241"/>
      <c r="G95" s="241"/>
    </row>
    <row r="96" spans="2:7" x14ac:dyDescent="0.2">
      <c r="B96" s="188"/>
      <c r="D96" s="241"/>
      <c r="E96" s="241"/>
      <c r="F96" s="241"/>
      <c r="G96" s="241"/>
    </row>
    <row r="97" spans="2:7" x14ac:dyDescent="0.2">
      <c r="B97" s="188"/>
      <c r="D97" s="241"/>
      <c r="E97" s="241"/>
      <c r="F97" s="241"/>
      <c r="G97" s="241"/>
    </row>
    <row r="98" spans="2:7" x14ac:dyDescent="0.2">
      <c r="B98" s="188"/>
      <c r="D98" s="241"/>
      <c r="E98" s="241"/>
      <c r="F98" s="241"/>
      <c r="G98" s="241"/>
    </row>
    <row r="99" spans="2:7" x14ac:dyDescent="0.2">
      <c r="B99" s="188"/>
      <c r="D99" s="241"/>
      <c r="E99" s="241"/>
      <c r="F99" s="241"/>
      <c r="G99" s="241"/>
    </row>
    <row r="100" spans="2:7" x14ac:dyDescent="0.2">
      <c r="B100" s="188"/>
      <c r="D100" s="241"/>
      <c r="E100" s="241"/>
      <c r="F100" s="241"/>
      <c r="G100" s="241"/>
    </row>
    <row r="101" spans="2:7" x14ac:dyDescent="0.2">
      <c r="B101" s="188"/>
      <c r="D101" s="241"/>
      <c r="E101" s="241"/>
      <c r="F101" s="241"/>
      <c r="G101" s="241"/>
    </row>
    <row r="102" spans="2:7" x14ac:dyDescent="0.2">
      <c r="B102" s="188"/>
      <c r="D102" s="241"/>
      <c r="E102" s="241"/>
      <c r="F102" s="241"/>
      <c r="G102" s="241"/>
    </row>
    <row r="103" spans="2:7" x14ac:dyDescent="0.2">
      <c r="B103" s="188"/>
      <c r="D103" s="241"/>
      <c r="E103" s="241"/>
      <c r="F103" s="241"/>
      <c r="G103" s="241"/>
    </row>
    <row r="104" spans="2:7" x14ac:dyDescent="0.2">
      <c r="B104" s="188"/>
      <c r="D104" s="241"/>
      <c r="E104" s="241"/>
      <c r="F104" s="241"/>
      <c r="G104" s="241"/>
    </row>
    <row r="105" spans="2:7" x14ac:dyDescent="0.2">
      <c r="B105" s="188"/>
      <c r="D105" s="241"/>
      <c r="E105" s="241"/>
      <c r="F105" s="241"/>
      <c r="G105" s="241"/>
    </row>
    <row r="106" spans="2:7" x14ac:dyDescent="0.2">
      <c r="B106" s="188"/>
      <c r="D106" s="241"/>
      <c r="E106" s="241"/>
      <c r="F106" s="241"/>
      <c r="G106" s="241"/>
    </row>
    <row r="107" spans="2:7" x14ac:dyDescent="0.2">
      <c r="B107" s="188"/>
      <c r="D107" s="241"/>
      <c r="E107" s="241"/>
      <c r="F107" s="241"/>
      <c r="G107" s="241"/>
    </row>
    <row r="108" spans="2:7" x14ac:dyDescent="0.2">
      <c r="B108" s="188"/>
      <c r="D108" s="241"/>
      <c r="E108" s="241"/>
      <c r="F108" s="241"/>
      <c r="G108" s="241"/>
    </row>
    <row r="109" spans="2:7" x14ac:dyDescent="0.2">
      <c r="B109" s="188"/>
      <c r="D109" s="241"/>
      <c r="E109" s="241"/>
      <c r="F109" s="241"/>
      <c r="G109" s="241"/>
    </row>
    <row r="110" spans="2:7" x14ac:dyDescent="0.2">
      <c r="B110" s="188"/>
      <c r="D110" s="241"/>
      <c r="E110" s="241"/>
      <c r="F110" s="241"/>
      <c r="G110" s="241"/>
    </row>
    <row r="111" spans="2:7" x14ac:dyDescent="0.2">
      <c r="B111" s="188"/>
      <c r="D111" s="241"/>
      <c r="E111" s="241"/>
      <c r="F111" s="241"/>
      <c r="G111" s="241"/>
    </row>
    <row r="112" spans="2:7" x14ac:dyDescent="0.2">
      <c r="B112" s="188"/>
      <c r="D112" s="241"/>
      <c r="E112" s="241"/>
      <c r="F112" s="241"/>
      <c r="G112" s="241"/>
    </row>
    <row r="113" spans="2:7" x14ac:dyDescent="0.2">
      <c r="B113" s="188"/>
      <c r="D113" s="241"/>
      <c r="E113" s="241"/>
      <c r="F113" s="241"/>
      <c r="G113" s="241"/>
    </row>
    <row r="114" spans="2:7" x14ac:dyDescent="0.2">
      <c r="B114" s="188"/>
      <c r="D114" s="241"/>
      <c r="E114" s="241"/>
      <c r="F114" s="241"/>
      <c r="G114" s="241"/>
    </row>
    <row r="115" spans="2:7" x14ac:dyDescent="0.2">
      <c r="B115" s="188"/>
      <c r="D115" s="241"/>
      <c r="E115" s="241"/>
      <c r="F115" s="241"/>
      <c r="G115" s="241"/>
    </row>
    <row r="116" spans="2:7" x14ac:dyDescent="0.2">
      <c r="B116" s="188"/>
      <c r="D116" s="241"/>
      <c r="E116" s="241"/>
      <c r="F116" s="241"/>
      <c r="G116" s="241"/>
    </row>
    <row r="117" spans="2:7" x14ac:dyDescent="0.2">
      <c r="B117" s="188"/>
      <c r="D117" s="241"/>
      <c r="E117" s="241"/>
      <c r="F117" s="241"/>
      <c r="G117" s="241"/>
    </row>
    <row r="118" spans="2:7" x14ac:dyDescent="0.2">
      <c r="B118" s="188"/>
      <c r="D118" s="241"/>
      <c r="E118" s="241"/>
      <c r="F118" s="241"/>
      <c r="G118" s="241"/>
    </row>
    <row r="119" spans="2:7" x14ac:dyDescent="0.2">
      <c r="B119" s="188"/>
      <c r="D119" s="241"/>
      <c r="E119" s="241"/>
      <c r="F119" s="241"/>
      <c r="G119" s="241"/>
    </row>
    <row r="120" spans="2:7" x14ac:dyDescent="0.2">
      <c r="B120" s="188"/>
      <c r="D120" s="241"/>
      <c r="E120" s="241"/>
      <c r="F120" s="241"/>
      <c r="G120" s="241"/>
    </row>
    <row r="121" spans="2:7" x14ac:dyDescent="0.2">
      <c r="B121" s="188"/>
      <c r="D121" s="241"/>
      <c r="E121" s="241"/>
      <c r="F121" s="241"/>
      <c r="G121" s="241"/>
    </row>
    <row r="122" spans="2:7" x14ac:dyDescent="0.2">
      <c r="B122" s="188"/>
      <c r="D122" s="241"/>
      <c r="E122" s="241"/>
      <c r="F122" s="241"/>
      <c r="G122" s="241"/>
    </row>
    <row r="123" spans="2:7" x14ac:dyDescent="0.2">
      <c r="B123" s="188"/>
      <c r="D123" s="241"/>
      <c r="E123" s="241"/>
      <c r="F123" s="241"/>
      <c r="G123" s="241"/>
    </row>
    <row r="124" spans="2:7" x14ac:dyDescent="0.2">
      <c r="B124" s="188"/>
      <c r="D124" s="241"/>
      <c r="E124" s="241"/>
      <c r="F124" s="241"/>
      <c r="G124" s="241"/>
    </row>
    <row r="125" spans="2:7" x14ac:dyDescent="0.2">
      <c r="B125" s="188"/>
      <c r="D125" s="241"/>
      <c r="E125" s="241"/>
      <c r="F125" s="241"/>
      <c r="G125" s="241"/>
    </row>
    <row r="126" spans="2:7" x14ac:dyDescent="0.2">
      <c r="B126" s="188"/>
      <c r="D126" s="241"/>
      <c r="E126" s="241"/>
      <c r="F126" s="241"/>
      <c r="G126" s="241"/>
    </row>
    <row r="127" spans="2:7" x14ac:dyDescent="0.2">
      <c r="B127" s="188"/>
      <c r="D127" s="241"/>
      <c r="E127" s="241"/>
      <c r="F127" s="241"/>
      <c r="G127" s="241"/>
    </row>
    <row r="128" spans="2:7" x14ac:dyDescent="0.2">
      <c r="B128" s="188"/>
      <c r="D128" s="241"/>
      <c r="E128" s="241"/>
      <c r="F128" s="241"/>
      <c r="G128" s="241"/>
    </row>
    <row r="129" spans="2:7" x14ac:dyDescent="0.2">
      <c r="B129" s="188"/>
      <c r="D129" s="241"/>
      <c r="E129" s="241"/>
      <c r="F129" s="241"/>
      <c r="G129" s="241"/>
    </row>
    <row r="130" spans="2:7" x14ac:dyDescent="0.2">
      <c r="B130" s="188"/>
      <c r="D130" s="241"/>
      <c r="E130" s="241"/>
      <c r="F130" s="241"/>
      <c r="G130" s="241"/>
    </row>
    <row r="131" spans="2:7" x14ac:dyDescent="0.2">
      <c r="B131" s="188"/>
      <c r="D131" s="241"/>
      <c r="E131" s="241"/>
      <c r="F131" s="241"/>
      <c r="G131" s="241"/>
    </row>
    <row r="132" spans="2:7" x14ac:dyDescent="0.2">
      <c r="B132" s="188"/>
      <c r="D132" s="241"/>
      <c r="E132" s="241"/>
      <c r="F132" s="241"/>
      <c r="G132" s="241"/>
    </row>
    <row r="133" spans="2:7" x14ac:dyDescent="0.2">
      <c r="B133" s="188"/>
      <c r="D133" s="241"/>
      <c r="E133" s="241"/>
      <c r="F133" s="241"/>
      <c r="G133" s="241"/>
    </row>
    <row r="134" spans="2:7" x14ac:dyDescent="0.2">
      <c r="B134" s="188"/>
      <c r="D134" s="241"/>
      <c r="E134" s="241"/>
      <c r="F134" s="241"/>
      <c r="G134" s="241"/>
    </row>
    <row r="135" spans="2:7" x14ac:dyDescent="0.2">
      <c r="B135" s="188"/>
      <c r="D135" s="241"/>
      <c r="E135" s="241"/>
      <c r="F135" s="241"/>
      <c r="G135" s="241"/>
    </row>
    <row r="136" spans="2:7" x14ac:dyDescent="0.2">
      <c r="B136" s="188"/>
      <c r="D136" s="241"/>
      <c r="E136" s="241"/>
      <c r="F136" s="241"/>
      <c r="G136" s="241"/>
    </row>
    <row r="137" spans="2:7" x14ac:dyDescent="0.2">
      <c r="B137" s="188"/>
      <c r="D137" s="241"/>
      <c r="E137" s="241"/>
      <c r="F137" s="241"/>
      <c r="G137" s="241"/>
    </row>
    <row r="138" spans="2:7" x14ac:dyDescent="0.2">
      <c r="B138" s="188"/>
      <c r="D138" s="241"/>
      <c r="E138" s="241"/>
      <c r="F138" s="241"/>
      <c r="G138" s="241"/>
    </row>
    <row r="139" spans="2:7" x14ac:dyDescent="0.2">
      <c r="B139" s="188"/>
      <c r="D139" s="241"/>
      <c r="E139" s="241"/>
      <c r="F139" s="241"/>
      <c r="G139" s="241"/>
    </row>
    <row r="140" spans="2:7" x14ac:dyDescent="0.2">
      <c r="B140" s="188"/>
      <c r="D140" s="241"/>
      <c r="E140" s="241"/>
      <c r="F140" s="241"/>
      <c r="G140" s="241"/>
    </row>
    <row r="141" spans="2:7" x14ac:dyDescent="0.2">
      <c r="B141" s="188"/>
      <c r="D141" s="241"/>
      <c r="E141" s="241"/>
      <c r="F141" s="241"/>
      <c r="G141" s="241"/>
    </row>
    <row r="142" spans="2:7" x14ac:dyDescent="0.2">
      <c r="B142" s="188"/>
      <c r="D142" s="241"/>
      <c r="E142" s="241"/>
      <c r="F142" s="241"/>
      <c r="G142" s="241"/>
    </row>
    <row r="143" spans="2:7" x14ac:dyDescent="0.2">
      <c r="B143" s="188"/>
      <c r="D143" s="241"/>
      <c r="E143" s="241"/>
      <c r="F143" s="241"/>
      <c r="G143" s="241"/>
    </row>
    <row r="144" spans="2:7" x14ac:dyDescent="0.2">
      <c r="B144" s="188"/>
      <c r="D144" s="241"/>
      <c r="E144" s="241"/>
      <c r="F144" s="241"/>
      <c r="G144" s="241"/>
    </row>
    <row r="145" spans="2:7" x14ac:dyDescent="0.2">
      <c r="B145" s="188"/>
      <c r="D145" s="241"/>
      <c r="E145" s="241"/>
      <c r="F145" s="241"/>
      <c r="G145" s="241"/>
    </row>
    <row r="146" spans="2:7" x14ac:dyDescent="0.2">
      <c r="B146" s="188"/>
      <c r="D146" s="241"/>
      <c r="E146" s="241"/>
      <c r="F146" s="241"/>
      <c r="G146" s="241"/>
    </row>
    <row r="147" spans="2:7" x14ac:dyDescent="0.2">
      <c r="B147" s="188"/>
      <c r="D147" s="241"/>
      <c r="E147" s="241"/>
      <c r="F147" s="241"/>
      <c r="G147" s="241"/>
    </row>
    <row r="148" spans="2:7" x14ac:dyDescent="0.2">
      <c r="B148" s="188"/>
      <c r="D148" s="241"/>
      <c r="E148" s="241"/>
      <c r="F148" s="241"/>
      <c r="G148" s="241"/>
    </row>
    <row r="149" spans="2:7" x14ac:dyDescent="0.2">
      <c r="B149" s="188"/>
      <c r="D149" s="241"/>
      <c r="E149" s="241"/>
      <c r="F149" s="241"/>
      <c r="G149" s="241"/>
    </row>
    <row r="150" spans="2:7" x14ac:dyDescent="0.2">
      <c r="B150" s="188"/>
      <c r="D150" s="241"/>
      <c r="E150" s="241"/>
      <c r="F150" s="241"/>
      <c r="G150" s="241"/>
    </row>
    <row r="151" spans="2:7" x14ac:dyDescent="0.2">
      <c r="B151" s="188"/>
      <c r="D151" s="241"/>
      <c r="E151" s="241"/>
      <c r="F151" s="241"/>
      <c r="G151" s="241"/>
    </row>
    <row r="152" spans="2:7" x14ac:dyDescent="0.2">
      <c r="B152" s="188"/>
      <c r="D152" s="241"/>
      <c r="E152" s="241"/>
      <c r="F152" s="241"/>
      <c r="G152" s="241"/>
    </row>
    <row r="153" spans="2:7" x14ac:dyDescent="0.2">
      <c r="B153" s="188"/>
      <c r="D153" s="241"/>
      <c r="E153" s="241"/>
      <c r="F153" s="241"/>
      <c r="G153" s="241"/>
    </row>
    <row r="154" spans="2:7" x14ac:dyDescent="0.2">
      <c r="B154" s="188"/>
      <c r="D154" s="241"/>
      <c r="E154" s="241"/>
      <c r="F154" s="241"/>
      <c r="G154" s="241"/>
    </row>
    <row r="155" spans="2:7" x14ac:dyDescent="0.2">
      <c r="B155" s="188"/>
      <c r="D155" s="241"/>
      <c r="E155" s="241"/>
      <c r="F155" s="241"/>
      <c r="G155" s="241"/>
    </row>
    <row r="156" spans="2:7" x14ac:dyDescent="0.2">
      <c r="B156" s="188"/>
      <c r="D156" s="241"/>
      <c r="E156" s="241"/>
      <c r="F156" s="241"/>
      <c r="G156" s="241"/>
    </row>
    <row r="157" spans="2:7" x14ac:dyDescent="0.2">
      <c r="B157" s="188"/>
      <c r="D157" s="241"/>
      <c r="E157" s="241"/>
      <c r="F157" s="241"/>
      <c r="G157" s="241"/>
    </row>
    <row r="158" spans="2:7" x14ac:dyDescent="0.2">
      <c r="B158" s="188"/>
      <c r="D158" s="241"/>
      <c r="E158" s="241"/>
      <c r="F158" s="241"/>
      <c r="G158" s="241"/>
    </row>
    <row r="159" spans="2:7" x14ac:dyDescent="0.2">
      <c r="B159" s="188"/>
      <c r="D159" s="241"/>
      <c r="E159" s="241"/>
      <c r="F159" s="241"/>
      <c r="G159" s="241"/>
    </row>
    <row r="160" spans="2:7" x14ac:dyDescent="0.2">
      <c r="B160" s="188"/>
      <c r="D160" s="241"/>
      <c r="E160" s="241"/>
      <c r="F160" s="241"/>
      <c r="G160" s="241"/>
    </row>
    <row r="161" spans="2:7" x14ac:dyDescent="0.2">
      <c r="B161" s="188"/>
      <c r="D161" s="241"/>
      <c r="E161" s="241"/>
      <c r="F161" s="241"/>
      <c r="G161" s="241"/>
    </row>
    <row r="162" spans="2:7" x14ac:dyDescent="0.2">
      <c r="B162" s="188"/>
      <c r="D162" s="241"/>
      <c r="E162" s="241"/>
      <c r="F162" s="241"/>
      <c r="G162" s="241"/>
    </row>
    <row r="163" spans="2:7" x14ac:dyDescent="0.2">
      <c r="B163" s="188"/>
      <c r="D163" s="241"/>
      <c r="E163" s="241"/>
      <c r="F163" s="241"/>
      <c r="G163" s="241"/>
    </row>
    <row r="164" spans="2:7" x14ac:dyDescent="0.2">
      <c r="B164" s="188"/>
      <c r="D164" s="241"/>
      <c r="E164" s="241"/>
      <c r="F164" s="241"/>
      <c r="G164" s="241"/>
    </row>
    <row r="165" spans="2:7" x14ac:dyDescent="0.2">
      <c r="B165" s="188"/>
      <c r="D165" s="241"/>
      <c r="E165" s="241"/>
      <c r="F165" s="241"/>
      <c r="G165" s="241"/>
    </row>
    <row r="166" spans="2:7" x14ac:dyDescent="0.2">
      <c r="B166" s="188"/>
      <c r="D166" s="241"/>
      <c r="E166" s="241"/>
      <c r="F166" s="241"/>
      <c r="G166" s="241"/>
    </row>
    <row r="167" spans="2:7" x14ac:dyDescent="0.2">
      <c r="B167" s="188"/>
      <c r="D167" s="241"/>
      <c r="E167" s="241"/>
      <c r="F167" s="241"/>
      <c r="G167" s="241"/>
    </row>
    <row r="168" spans="2:7" x14ac:dyDescent="0.2">
      <c r="B168" s="188"/>
      <c r="D168" s="241"/>
      <c r="E168" s="241"/>
      <c r="F168" s="241"/>
      <c r="G168" s="241"/>
    </row>
    <row r="169" spans="2:7" x14ac:dyDescent="0.2">
      <c r="B169" s="188"/>
      <c r="D169" s="241"/>
      <c r="E169" s="241"/>
      <c r="F169" s="241"/>
      <c r="G169" s="241"/>
    </row>
    <row r="170" spans="2:7" x14ac:dyDescent="0.2">
      <c r="B170" s="188"/>
      <c r="D170" s="241"/>
      <c r="E170" s="241"/>
      <c r="F170" s="241"/>
      <c r="G170" s="241"/>
    </row>
    <row r="171" spans="2:7" x14ac:dyDescent="0.2">
      <c r="B171" s="188"/>
      <c r="D171" s="241"/>
      <c r="E171" s="241"/>
      <c r="F171" s="241"/>
      <c r="G171" s="241"/>
    </row>
    <row r="172" spans="2:7" x14ac:dyDescent="0.2">
      <c r="B172" s="188"/>
      <c r="D172" s="241"/>
      <c r="E172" s="241"/>
      <c r="F172" s="241"/>
      <c r="G172" s="241"/>
    </row>
    <row r="173" spans="2:7" x14ac:dyDescent="0.2">
      <c r="B173" s="188"/>
      <c r="D173" s="241"/>
      <c r="E173" s="241"/>
      <c r="F173" s="241"/>
      <c r="G173" s="241"/>
    </row>
    <row r="174" spans="2:7" x14ac:dyDescent="0.2">
      <c r="B174" s="188"/>
      <c r="D174" s="241"/>
      <c r="E174" s="241"/>
      <c r="F174" s="241"/>
      <c r="G174" s="241"/>
    </row>
    <row r="175" spans="2:7" x14ac:dyDescent="0.2">
      <c r="B175" s="188"/>
      <c r="D175" s="241"/>
      <c r="E175" s="241"/>
      <c r="F175" s="241"/>
      <c r="G175" s="241"/>
    </row>
    <row r="176" spans="2:7" x14ac:dyDescent="0.2">
      <c r="B176" s="188"/>
      <c r="D176" s="241"/>
      <c r="E176" s="241"/>
      <c r="F176" s="241"/>
      <c r="G176" s="241"/>
    </row>
    <row r="177" spans="2:7" x14ac:dyDescent="0.2">
      <c r="B177" s="188"/>
      <c r="D177" s="241"/>
      <c r="E177" s="241"/>
      <c r="F177" s="241"/>
      <c r="G177" s="241"/>
    </row>
    <row r="178" spans="2:7" x14ac:dyDescent="0.2">
      <c r="B178" s="188"/>
      <c r="D178" s="241"/>
      <c r="E178" s="241"/>
      <c r="F178" s="241"/>
      <c r="G178" s="241"/>
    </row>
    <row r="179" spans="2:7" x14ac:dyDescent="0.2">
      <c r="B179" s="188"/>
      <c r="D179" s="241"/>
      <c r="E179" s="241"/>
      <c r="F179" s="241"/>
      <c r="G179" s="241"/>
    </row>
    <row r="180" spans="2:7" x14ac:dyDescent="0.2">
      <c r="B180" s="188"/>
      <c r="D180" s="241"/>
      <c r="E180" s="241"/>
      <c r="F180" s="241"/>
      <c r="G180" s="241"/>
    </row>
    <row r="181" spans="2:7" x14ac:dyDescent="0.2">
      <c r="B181" s="188"/>
      <c r="D181" s="241"/>
      <c r="E181" s="241"/>
      <c r="F181" s="241"/>
      <c r="G181" s="241"/>
    </row>
    <row r="182" spans="2:7" x14ac:dyDescent="0.2">
      <c r="B182" s="188"/>
      <c r="D182" s="241"/>
      <c r="E182" s="241"/>
      <c r="F182" s="241"/>
      <c r="G182" s="241"/>
    </row>
    <row r="183" spans="2:7" x14ac:dyDescent="0.2">
      <c r="B183" s="188"/>
      <c r="D183" s="241"/>
      <c r="E183" s="241"/>
      <c r="F183" s="241"/>
      <c r="G183" s="241"/>
    </row>
    <row r="184" spans="2:7" x14ac:dyDescent="0.2">
      <c r="B184" s="188"/>
      <c r="D184" s="241"/>
      <c r="E184" s="241"/>
      <c r="F184" s="241"/>
      <c r="G184" s="241"/>
    </row>
    <row r="185" spans="2:7" x14ac:dyDescent="0.2">
      <c r="B185" s="188"/>
      <c r="D185" s="241"/>
      <c r="E185" s="241"/>
      <c r="F185" s="241"/>
      <c r="G185" s="241"/>
    </row>
    <row r="186" spans="2:7" x14ac:dyDescent="0.2">
      <c r="B186" s="188"/>
      <c r="D186" s="241"/>
      <c r="E186" s="241"/>
      <c r="F186" s="241"/>
      <c r="G186" s="241"/>
    </row>
    <row r="187" spans="2:7" x14ac:dyDescent="0.2">
      <c r="B187" s="188"/>
      <c r="D187" s="241"/>
      <c r="E187" s="241"/>
      <c r="F187" s="241"/>
      <c r="G187" s="241"/>
    </row>
    <row r="188" spans="2:7" x14ac:dyDescent="0.2">
      <c r="B188" s="188"/>
      <c r="D188" s="241"/>
      <c r="E188" s="241"/>
      <c r="F188" s="241"/>
      <c r="G188" s="241"/>
    </row>
    <row r="189" spans="2:7" x14ac:dyDescent="0.2">
      <c r="B189" s="188"/>
      <c r="D189" s="241"/>
      <c r="E189" s="241"/>
      <c r="F189" s="241"/>
      <c r="G189" s="241"/>
    </row>
    <row r="190" spans="2:7" x14ac:dyDescent="0.2">
      <c r="B190" s="188"/>
      <c r="D190" s="241"/>
      <c r="E190" s="241"/>
      <c r="F190" s="241"/>
      <c r="G190" s="241"/>
    </row>
    <row r="191" spans="2:7" x14ac:dyDescent="0.2">
      <c r="B191" s="188"/>
      <c r="D191" s="241"/>
      <c r="E191" s="241"/>
      <c r="F191" s="241"/>
      <c r="G191" s="241"/>
    </row>
    <row r="192" spans="2:7" x14ac:dyDescent="0.2">
      <c r="B192" s="188"/>
      <c r="D192" s="241"/>
      <c r="E192" s="241"/>
      <c r="F192" s="241"/>
      <c r="G192" s="241"/>
    </row>
    <row r="193" spans="2:7" x14ac:dyDescent="0.2">
      <c r="B193" s="188"/>
      <c r="D193" s="241"/>
      <c r="E193" s="241"/>
      <c r="F193" s="241"/>
      <c r="G193" s="241"/>
    </row>
    <row r="194" spans="2:7" x14ac:dyDescent="0.2">
      <c r="B194" s="188"/>
      <c r="D194" s="241"/>
      <c r="E194" s="241"/>
      <c r="F194" s="241"/>
      <c r="G194" s="241"/>
    </row>
    <row r="195" spans="2:7" x14ac:dyDescent="0.2">
      <c r="B195" s="188"/>
      <c r="D195" s="241"/>
      <c r="E195" s="241"/>
      <c r="F195" s="241"/>
      <c r="G195" s="241"/>
    </row>
    <row r="196" spans="2:7" x14ac:dyDescent="0.2">
      <c r="B196" s="188"/>
      <c r="D196" s="241"/>
      <c r="E196" s="241"/>
      <c r="F196" s="241"/>
      <c r="G196" s="241"/>
    </row>
    <row r="197" spans="2:7" x14ac:dyDescent="0.2">
      <c r="B197" s="188"/>
      <c r="D197" s="241"/>
      <c r="E197" s="241"/>
      <c r="F197" s="241"/>
      <c r="G197" s="241"/>
    </row>
    <row r="198" spans="2:7" x14ac:dyDescent="0.2">
      <c r="B198" s="188"/>
      <c r="D198" s="241"/>
      <c r="E198" s="241"/>
      <c r="F198" s="241"/>
      <c r="G198" s="241"/>
    </row>
    <row r="199" spans="2:7" x14ac:dyDescent="0.2">
      <c r="B199" s="188"/>
      <c r="D199" s="241"/>
      <c r="E199" s="241"/>
      <c r="F199" s="241"/>
      <c r="G199" s="241"/>
    </row>
    <row r="200" spans="2:7" x14ac:dyDescent="0.2">
      <c r="B200" s="188"/>
      <c r="D200" s="241"/>
      <c r="E200" s="241"/>
      <c r="F200" s="241"/>
      <c r="G200" s="241"/>
    </row>
    <row r="201" spans="2:7" x14ac:dyDescent="0.2">
      <c r="B201" s="188"/>
      <c r="D201" s="241"/>
      <c r="E201" s="241"/>
      <c r="F201" s="241"/>
      <c r="G201" s="241"/>
    </row>
    <row r="202" spans="2:7" x14ac:dyDescent="0.2">
      <c r="B202" s="188"/>
      <c r="D202" s="241"/>
      <c r="E202" s="241"/>
      <c r="F202" s="241"/>
      <c r="G202" s="241"/>
    </row>
    <row r="203" spans="2:7" x14ac:dyDescent="0.2">
      <c r="B203" s="188"/>
      <c r="D203" s="241"/>
      <c r="E203" s="241"/>
      <c r="F203" s="241"/>
      <c r="G203" s="241"/>
    </row>
    <row r="204" spans="2:7" x14ac:dyDescent="0.2">
      <c r="B204" s="188"/>
      <c r="D204" s="241"/>
      <c r="E204" s="241"/>
      <c r="F204" s="241"/>
      <c r="G204" s="241"/>
    </row>
    <row r="205" spans="2:7" x14ac:dyDescent="0.2">
      <c r="B205" s="188"/>
      <c r="D205" s="241"/>
      <c r="E205" s="241"/>
      <c r="F205" s="241"/>
      <c r="G205" s="241"/>
    </row>
    <row r="206" spans="2:7" x14ac:dyDescent="0.2">
      <c r="B206" s="188"/>
      <c r="D206" s="241"/>
      <c r="E206" s="241"/>
      <c r="F206" s="241"/>
      <c r="G206" s="241"/>
    </row>
    <row r="207" spans="2:7" x14ac:dyDescent="0.2">
      <c r="B207" s="188"/>
      <c r="D207" s="241"/>
      <c r="E207" s="241"/>
      <c r="F207" s="241"/>
      <c r="G207" s="241"/>
    </row>
    <row r="208" spans="2:7" x14ac:dyDescent="0.2">
      <c r="B208" s="188"/>
      <c r="D208" s="241"/>
      <c r="E208" s="241"/>
      <c r="F208" s="241"/>
      <c r="G208" s="241"/>
    </row>
    <row r="209" spans="2:7" x14ac:dyDescent="0.2">
      <c r="B209" s="188"/>
      <c r="D209" s="241"/>
      <c r="E209" s="241"/>
      <c r="F209" s="241"/>
      <c r="G209" s="241"/>
    </row>
    <row r="210" spans="2:7" x14ac:dyDescent="0.2">
      <c r="B210" s="188"/>
      <c r="D210" s="241"/>
      <c r="E210" s="241"/>
      <c r="F210" s="241"/>
      <c r="G210" s="241"/>
    </row>
    <row r="211" spans="2:7" x14ac:dyDescent="0.2">
      <c r="B211" s="188"/>
      <c r="D211" s="241"/>
      <c r="E211" s="241"/>
      <c r="F211" s="241"/>
      <c r="G211" s="241"/>
    </row>
    <row r="212" spans="2:7" x14ac:dyDescent="0.2">
      <c r="B212" s="188"/>
      <c r="D212" s="241"/>
      <c r="E212" s="241"/>
      <c r="F212" s="241"/>
      <c r="G212" s="241"/>
    </row>
    <row r="213" spans="2:7" x14ac:dyDescent="0.2">
      <c r="B213" s="188"/>
      <c r="D213" s="241"/>
      <c r="E213" s="241"/>
      <c r="F213" s="241"/>
      <c r="G213" s="241"/>
    </row>
    <row r="214" spans="2:7" x14ac:dyDescent="0.2">
      <c r="B214" s="188"/>
      <c r="D214" s="241"/>
      <c r="E214" s="241"/>
      <c r="F214" s="241"/>
      <c r="G214" s="241"/>
    </row>
    <row r="215" spans="2:7" x14ac:dyDescent="0.2">
      <c r="B215" s="188"/>
      <c r="D215" s="241"/>
      <c r="E215" s="241"/>
      <c r="F215" s="241"/>
      <c r="G215" s="241"/>
    </row>
    <row r="216" spans="2:7" x14ac:dyDescent="0.2">
      <c r="B216" s="188"/>
      <c r="D216" s="241"/>
      <c r="E216" s="241"/>
      <c r="F216" s="241"/>
      <c r="G216" s="241"/>
    </row>
    <row r="217" spans="2:7" x14ac:dyDescent="0.2">
      <c r="B217" s="188"/>
      <c r="D217" s="241"/>
      <c r="E217" s="241"/>
      <c r="F217" s="241"/>
      <c r="G217" s="241"/>
    </row>
    <row r="218" spans="2:7" x14ac:dyDescent="0.2">
      <c r="B218" s="188"/>
      <c r="D218" s="241"/>
      <c r="E218" s="241"/>
      <c r="F218" s="241"/>
      <c r="G218" s="241"/>
    </row>
    <row r="219" spans="2:7" x14ac:dyDescent="0.2">
      <c r="B219" s="188"/>
      <c r="D219" s="241"/>
      <c r="E219" s="241"/>
      <c r="F219" s="241"/>
      <c r="G219" s="241"/>
    </row>
    <row r="220" spans="2:7" x14ac:dyDescent="0.2">
      <c r="B220" s="188"/>
      <c r="D220" s="241"/>
      <c r="E220" s="241"/>
      <c r="F220" s="241"/>
      <c r="G220" s="241"/>
    </row>
    <row r="221" spans="2:7" x14ac:dyDescent="0.2">
      <c r="B221" s="188"/>
      <c r="D221" s="241"/>
      <c r="E221" s="241"/>
      <c r="F221" s="241"/>
      <c r="G221" s="241"/>
    </row>
    <row r="222" spans="2:7" x14ac:dyDescent="0.2">
      <c r="B222" s="188"/>
      <c r="D222" s="241"/>
      <c r="E222" s="241"/>
      <c r="F222" s="241"/>
      <c r="G222" s="241"/>
    </row>
    <row r="223" spans="2:7" x14ac:dyDescent="0.2">
      <c r="B223" s="188"/>
      <c r="D223" s="241"/>
      <c r="E223" s="241"/>
      <c r="F223" s="241"/>
      <c r="G223" s="241"/>
    </row>
    <row r="224" spans="2:7" x14ac:dyDescent="0.2">
      <c r="B224" s="188"/>
      <c r="D224" s="241"/>
      <c r="E224" s="241"/>
      <c r="F224" s="241"/>
      <c r="G224" s="241"/>
    </row>
    <row r="225" spans="2:7" x14ac:dyDescent="0.2">
      <c r="B225" s="188"/>
      <c r="D225" s="241"/>
      <c r="E225" s="241"/>
      <c r="F225" s="241"/>
      <c r="G225" s="241"/>
    </row>
    <row r="226" spans="2:7" x14ac:dyDescent="0.2">
      <c r="B226" s="188"/>
      <c r="D226" s="241"/>
      <c r="E226" s="241"/>
      <c r="F226" s="241"/>
      <c r="G226" s="241"/>
    </row>
    <row r="227" spans="2:7" x14ac:dyDescent="0.2">
      <c r="B227" s="188"/>
      <c r="D227" s="241"/>
      <c r="E227" s="241"/>
      <c r="F227" s="241"/>
      <c r="G227" s="241"/>
    </row>
    <row r="228" spans="2:7" x14ac:dyDescent="0.2">
      <c r="B228" s="188"/>
      <c r="D228" s="241"/>
      <c r="E228" s="241"/>
      <c r="F228" s="241"/>
      <c r="G228" s="241"/>
    </row>
    <row r="229" spans="2:7" x14ac:dyDescent="0.2">
      <c r="B229" s="188"/>
      <c r="D229" s="241"/>
      <c r="E229" s="241"/>
      <c r="F229" s="241"/>
      <c r="G229" s="241"/>
    </row>
    <row r="230" spans="2:7" x14ac:dyDescent="0.2">
      <c r="B230" s="188"/>
      <c r="D230" s="241"/>
      <c r="E230" s="241"/>
      <c r="F230" s="241"/>
      <c r="G230" s="241"/>
    </row>
    <row r="231" spans="2:7" x14ac:dyDescent="0.2">
      <c r="B231" s="188"/>
      <c r="D231" s="241"/>
      <c r="E231" s="241"/>
      <c r="F231" s="241"/>
      <c r="G231" s="241"/>
    </row>
    <row r="232" spans="2:7" x14ac:dyDescent="0.2">
      <c r="B232" s="188"/>
      <c r="D232" s="241"/>
      <c r="E232" s="241"/>
      <c r="F232" s="241"/>
      <c r="G232" s="241"/>
    </row>
    <row r="233" spans="2:7" x14ac:dyDescent="0.2">
      <c r="B233" s="188"/>
      <c r="D233" s="241"/>
      <c r="E233" s="241"/>
      <c r="F233" s="241"/>
      <c r="G233" s="241"/>
    </row>
    <row r="234" spans="2:7" x14ac:dyDescent="0.2">
      <c r="B234" s="188"/>
      <c r="D234" s="241"/>
      <c r="E234" s="241"/>
      <c r="F234" s="241"/>
      <c r="G234" s="241"/>
    </row>
    <row r="235" spans="2:7" x14ac:dyDescent="0.2">
      <c r="B235" s="188"/>
      <c r="D235" s="241"/>
      <c r="E235" s="241"/>
      <c r="F235" s="241"/>
      <c r="G235" s="241"/>
    </row>
    <row r="236" spans="2:7" x14ac:dyDescent="0.2">
      <c r="B236" s="188"/>
      <c r="D236" s="241"/>
      <c r="E236" s="241"/>
      <c r="F236" s="241"/>
      <c r="G236" s="241"/>
    </row>
    <row r="237" spans="2:7" x14ac:dyDescent="0.2">
      <c r="B237" s="188"/>
      <c r="D237" s="241"/>
      <c r="E237" s="241"/>
      <c r="F237" s="241"/>
      <c r="G237" s="241"/>
    </row>
    <row r="238" spans="2:7" x14ac:dyDescent="0.2">
      <c r="B238" s="188"/>
      <c r="D238" s="241"/>
      <c r="E238" s="241"/>
      <c r="F238" s="241"/>
      <c r="G238" s="241"/>
    </row>
    <row r="239" spans="2:7" x14ac:dyDescent="0.2">
      <c r="B239" s="188"/>
      <c r="D239" s="241"/>
      <c r="E239" s="241"/>
      <c r="F239" s="241"/>
      <c r="G239" s="241"/>
    </row>
    <row r="240" spans="2:7" x14ac:dyDescent="0.2">
      <c r="B240" s="188"/>
      <c r="D240" s="241"/>
      <c r="E240" s="241"/>
      <c r="F240" s="241"/>
      <c r="G240" s="241"/>
    </row>
    <row r="241" spans="2:7" x14ac:dyDescent="0.2">
      <c r="B241" s="188"/>
      <c r="D241" s="241"/>
      <c r="E241" s="241"/>
      <c r="F241" s="241"/>
      <c r="G241" s="241"/>
    </row>
    <row r="242" spans="2:7" x14ac:dyDescent="0.2">
      <c r="B242" s="188"/>
      <c r="D242" s="241"/>
      <c r="E242" s="241"/>
      <c r="F242" s="241"/>
      <c r="G242" s="241"/>
    </row>
    <row r="243" spans="2:7" x14ac:dyDescent="0.2">
      <c r="B243" s="188"/>
      <c r="D243" s="241"/>
      <c r="E243" s="241"/>
      <c r="F243" s="241"/>
      <c r="G243" s="241"/>
    </row>
    <row r="244" spans="2:7" x14ac:dyDescent="0.2">
      <c r="B244" s="188"/>
      <c r="D244" s="241"/>
      <c r="E244" s="241"/>
      <c r="F244" s="241"/>
      <c r="G244" s="241"/>
    </row>
    <row r="245" spans="2:7" x14ac:dyDescent="0.2">
      <c r="B245" s="188"/>
      <c r="D245" s="241"/>
      <c r="E245" s="241"/>
      <c r="F245" s="241"/>
      <c r="G245" s="241"/>
    </row>
    <row r="246" spans="2:7" x14ac:dyDescent="0.2">
      <c r="B246" s="188"/>
      <c r="D246" s="241"/>
      <c r="E246" s="241"/>
      <c r="F246" s="241"/>
      <c r="G246" s="241"/>
    </row>
    <row r="247" spans="2:7" x14ac:dyDescent="0.2">
      <c r="B247" s="188"/>
      <c r="D247" s="241"/>
      <c r="E247" s="241"/>
      <c r="F247" s="241"/>
      <c r="G247" s="241"/>
    </row>
    <row r="248" spans="2:7" x14ac:dyDescent="0.2">
      <c r="B248" s="188"/>
      <c r="D248" s="241"/>
      <c r="E248" s="241"/>
      <c r="F248" s="241"/>
      <c r="G248" s="241"/>
    </row>
    <row r="249" spans="2:7" x14ac:dyDescent="0.2">
      <c r="B249" s="188"/>
      <c r="D249" s="241"/>
      <c r="E249" s="241"/>
      <c r="F249" s="241"/>
      <c r="G249" s="241"/>
    </row>
    <row r="250" spans="2:7" x14ac:dyDescent="0.2">
      <c r="B250" s="188"/>
      <c r="D250" s="241"/>
      <c r="E250" s="241"/>
      <c r="F250" s="241"/>
      <c r="G250" s="241"/>
    </row>
    <row r="251" spans="2:7" x14ac:dyDescent="0.2">
      <c r="B251" s="188"/>
      <c r="D251" s="241"/>
      <c r="E251" s="241"/>
      <c r="F251" s="241"/>
      <c r="G251" s="241"/>
    </row>
    <row r="252" spans="2:7" x14ac:dyDescent="0.2">
      <c r="B252" s="188"/>
      <c r="D252" s="241"/>
      <c r="E252" s="241"/>
      <c r="F252" s="241"/>
      <c r="G252" s="241"/>
    </row>
    <row r="253" spans="2:7" x14ac:dyDescent="0.2">
      <c r="B253" s="188"/>
      <c r="D253" s="241"/>
      <c r="E253" s="241"/>
      <c r="F253" s="241"/>
      <c r="G253" s="241"/>
    </row>
    <row r="254" spans="2:7" x14ac:dyDescent="0.2">
      <c r="B254" s="188"/>
      <c r="D254" s="241"/>
      <c r="E254" s="241"/>
      <c r="F254" s="241"/>
      <c r="G254" s="241"/>
    </row>
    <row r="255" spans="2:7" x14ac:dyDescent="0.2">
      <c r="B255" s="188"/>
      <c r="D255" s="241"/>
      <c r="E255" s="241"/>
      <c r="F255" s="241"/>
      <c r="G255" s="241"/>
    </row>
    <row r="256" spans="2:7" x14ac:dyDescent="0.2">
      <c r="B256" s="188"/>
      <c r="D256" s="241"/>
      <c r="E256" s="241"/>
      <c r="F256" s="241"/>
      <c r="G256" s="241"/>
    </row>
    <row r="257" spans="2:7" x14ac:dyDescent="0.2">
      <c r="B257" s="188"/>
      <c r="D257" s="241"/>
      <c r="E257" s="241"/>
      <c r="F257" s="241"/>
      <c r="G257" s="241"/>
    </row>
    <row r="258" spans="2:7" x14ac:dyDescent="0.2">
      <c r="B258" s="188"/>
      <c r="D258" s="241"/>
      <c r="E258" s="241"/>
      <c r="F258" s="241"/>
      <c r="G258" s="241"/>
    </row>
    <row r="259" spans="2:7" x14ac:dyDescent="0.2">
      <c r="B259" s="188"/>
      <c r="D259" s="241"/>
      <c r="E259" s="241"/>
      <c r="F259" s="241"/>
      <c r="G259" s="241"/>
    </row>
    <row r="260" spans="2:7" x14ac:dyDescent="0.2">
      <c r="B260" s="188"/>
      <c r="D260" s="241"/>
      <c r="E260" s="241"/>
      <c r="F260" s="241"/>
      <c r="G260" s="241"/>
    </row>
    <row r="261" spans="2:7" x14ac:dyDescent="0.2">
      <c r="B261" s="188"/>
      <c r="D261" s="241"/>
      <c r="E261" s="241"/>
      <c r="F261" s="241"/>
      <c r="G261" s="241"/>
    </row>
    <row r="262" spans="2:7" x14ac:dyDescent="0.2">
      <c r="B262" s="188"/>
      <c r="D262" s="241"/>
      <c r="E262" s="241"/>
      <c r="F262" s="241"/>
      <c r="G262" s="241"/>
    </row>
    <row r="263" spans="2:7" x14ac:dyDescent="0.2">
      <c r="B263" s="188"/>
      <c r="D263" s="241"/>
      <c r="E263" s="241"/>
      <c r="F263" s="241"/>
      <c r="G263" s="241"/>
    </row>
    <row r="264" spans="2:7" x14ac:dyDescent="0.2">
      <c r="B264" s="188"/>
      <c r="D264" s="241"/>
      <c r="E264" s="241"/>
      <c r="F264" s="241"/>
      <c r="G264" s="241"/>
    </row>
    <row r="265" spans="2:7" x14ac:dyDescent="0.2">
      <c r="B265" s="188"/>
      <c r="D265" s="241"/>
      <c r="E265" s="241"/>
      <c r="F265" s="241"/>
      <c r="G265" s="241"/>
    </row>
    <row r="266" spans="2:7" x14ac:dyDescent="0.2">
      <c r="B266" s="188"/>
      <c r="D266" s="241"/>
      <c r="E266" s="241"/>
      <c r="F266" s="241"/>
      <c r="G266" s="241"/>
    </row>
    <row r="267" spans="2:7" x14ac:dyDescent="0.2">
      <c r="B267" s="188"/>
      <c r="D267" s="241"/>
      <c r="E267" s="241"/>
      <c r="F267" s="241"/>
      <c r="G267" s="241"/>
    </row>
    <row r="268" spans="2:7" x14ac:dyDescent="0.2">
      <c r="B268" s="188"/>
      <c r="D268" s="241"/>
      <c r="E268" s="241"/>
      <c r="F268" s="241"/>
      <c r="G268" s="241"/>
    </row>
    <row r="269" spans="2:7" x14ac:dyDescent="0.2">
      <c r="B269" s="188"/>
      <c r="D269" s="241"/>
      <c r="E269" s="241"/>
      <c r="F269" s="241"/>
      <c r="G269" s="241"/>
    </row>
    <row r="270" spans="2:7" x14ac:dyDescent="0.2">
      <c r="B270" s="188"/>
      <c r="D270" s="241"/>
      <c r="E270" s="241"/>
      <c r="F270" s="241"/>
      <c r="G270" s="241"/>
    </row>
    <row r="271" spans="2:7" x14ac:dyDescent="0.2">
      <c r="B271" s="188"/>
      <c r="D271" s="241"/>
      <c r="E271" s="241"/>
      <c r="F271" s="241"/>
      <c r="G271" s="241"/>
    </row>
    <row r="272" spans="2:7" x14ac:dyDescent="0.2">
      <c r="B272" s="188"/>
      <c r="D272" s="241"/>
      <c r="E272" s="241"/>
      <c r="F272" s="241"/>
      <c r="G272" s="241"/>
    </row>
    <row r="273" spans="2:7" x14ac:dyDescent="0.2">
      <c r="B273" s="188"/>
      <c r="D273" s="241"/>
      <c r="E273" s="241"/>
      <c r="F273" s="241"/>
      <c r="G273" s="241"/>
    </row>
    <row r="274" spans="2:7" x14ac:dyDescent="0.2">
      <c r="B274" s="188"/>
      <c r="D274" s="241"/>
      <c r="E274" s="241"/>
      <c r="F274" s="241"/>
      <c r="G274" s="241"/>
    </row>
    <row r="275" spans="2:7" x14ac:dyDescent="0.2">
      <c r="B275" s="188"/>
      <c r="D275" s="241"/>
      <c r="E275" s="241"/>
      <c r="F275" s="241"/>
      <c r="G275" s="241"/>
    </row>
    <row r="276" spans="2:7" x14ac:dyDescent="0.2">
      <c r="B276" s="188"/>
      <c r="D276" s="241"/>
      <c r="E276" s="241"/>
      <c r="F276" s="241"/>
      <c r="G276" s="241"/>
    </row>
    <row r="277" spans="2:7" x14ac:dyDescent="0.2">
      <c r="B277" s="188"/>
      <c r="D277" s="241"/>
      <c r="E277" s="241"/>
      <c r="F277" s="241"/>
      <c r="G277" s="241"/>
    </row>
    <row r="278" spans="2:7" x14ac:dyDescent="0.2">
      <c r="B278" s="188"/>
      <c r="D278" s="241"/>
      <c r="E278" s="241"/>
      <c r="F278" s="241"/>
      <c r="G278" s="241"/>
    </row>
    <row r="279" spans="2:7" x14ac:dyDescent="0.2">
      <c r="B279" s="188"/>
      <c r="D279" s="241"/>
      <c r="E279" s="241"/>
      <c r="F279" s="241"/>
      <c r="G279" s="241"/>
    </row>
    <row r="280" spans="2:7" x14ac:dyDescent="0.2">
      <c r="B280" s="188"/>
      <c r="D280" s="241"/>
      <c r="E280" s="241"/>
      <c r="F280" s="241"/>
      <c r="G280" s="241"/>
    </row>
    <row r="281" spans="2:7" x14ac:dyDescent="0.2">
      <c r="B281" s="188"/>
      <c r="D281" s="241"/>
      <c r="E281" s="241"/>
      <c r="F281" s="241"/>
      <c r="G281" s="241"/>
    </row>
    <row r="282" spans="2:7" x14ac:dyDescent="0.2">
      <c r="B282" s="188"/>
      <c r="D282" s="241"/>
      <c r="E282" s="241"/>
      <c r="F282" s="241"/>
      <c r="G282" s="241"/>
    </row>
    <row r="283" spans="2:7" x14ac:dyDescent="0.2">
      <c r="B283" s="188"/>
      <c r="D283" s="241"/>
      <c r="E283" s="241"/>
      <c r="F283" s="241"/>
      <c r="G283" s="241"/>
    </row>
    <row r="284" spans="2:7" x14ac:dyDescent="0.2">
      <c r="B284" s="188"/>
      <c r="D284" s="241"/>
      <c r="E284" s="241"/>
      <c r="F284" s="241"/>
      <c r="G284" s="241"/>
    </row>
    <row r="285" spans="2:7" x14ac:dyDescent="0.2">
      <c r="B285" s="188"/>
      <c r="D285" s="241"/>
      <c r="E285" s="241"/>
      <c r="F285" s="241"/>
      <c r="G285" s="241"/>
    </row>
    <row r="286" spans="2:7" x14ac:dyDescent="0.2">
      <c r="B286" s="188"/>
      <c r="D286" s="241"/>
      <c r="E286" s="241"/>
      <c r="F286" s="241"/>
      <c r="G286" s="241"/>
    </row>
    <row r="287" spans="2:7" x14ac:dyDescent="0.2">
      <c r="B287" s="188"/>
      <c r="D287" s="241"/>
      <c r="E287" s="241"/>
      <c r="F287" s="241"/>
      <c r="G287" s="241"/>
    </row>
    <row r="288" spans="2:7" x14ac:dyDescent="0.2">
      <c r="B288" s="188"/>
      <c r="D288" s="241"/>
      <c r="E288" s="241"/>
      <c r="F288" s="241"/>
      <c r="G288" s="241"/>
    </row>
    <row r="289" spans="2:7" x14ac:dyDescent="0.2">
      <c r="B289" s="188"/>
      <c r="D289" s="241"/>
      <c r="E289" s="241"/>
      <c r="F289" s="241"/>
      <c r="G289" s="241"/>
    </row>
    <row r="290" spans="2:7" x14ac:dyDescent="0.2">
      <c r="B290" s="188"/>
      <c r="D290" s="241"/>
      <c r="E290" s="241"/>
      <c r="F290" s="241"/>
      <c r="G290" s="241"/>
    </row>
    <row r="291" spans="2:7" x14ac:dyDescent="0.2">
      <c r="B291" s="188"/>
      <c r="D291" s="241"/>
      <c r="E291" s="241"/>
      <c r="F291" s="241"/>
      <c r="G291" s="241"/>
    </row>
    <row r="292" spans="2:7" x14ac:dyDescent="0.2">
      <c r="B292" s="188"/>
      <c r="D292" s="241"/>
      <c r="E292" s="241"/>
      <c r="F292" s="241"/>
      <c r="G292" s="241"/>
    </row>
    <row r="293" spans="2:7" x14ac:dyDescent="0.2">
      <c r="B293" s="188"/>
      <c r="D293" s="241"/>
      <c r="E293" s="241"/>
      <c r="F293" s="241"/>
      <c r="G293" s="241"/>
    </row>
    <row r="294" spans="2:7" x14ac:dyDescent="0.2">
      <c r="B294" s="188"/>
      <c r="D294" s="241"/>
      <c r="E294" s="241"/>
      <c r="F294" s="241"/>
      <c r="G294" s="241"/>
    </row>
    <row r="295" spans="2:7" x14ac:dyDescent="0.2">
      <c r="B295" s="188"/>
      <c r="D295" s="241"/>
      <c r="E295" s="241"/>
      <c r="F295" s="241"/>
      <c r="G295" s="241"/>
    </row>
    <row r="296" spans="2:7" x14ac:dyDescent="0.2">
      <c r="B296" s="188"/>
      <c r="D296" s="241"/>
      <c r="E296" s="241"/>
      <c r="F296" s="241"/>
      <c r="G296" s="241"/>
    </row>
    <row r="297" spans="2:7" x14ac:dyDescent="0.2">
      <c r="B297" s="188"/>
      <c r="D297" s="241"/>
      <c r="E297" s="241"/>
      <c r="F297" s="241"/>
      <c r="G297" s="241"/>
    </row>
    <row r="298" spans="2:7" x14ac:dyDescent="0.2">
      <c r="B298" s="188"/>
      <c r="D298" s="241"/>
      <c r="E298" s="241"/>
      <c r="F298" s="241"/>
      <c r="G298" s="241"/>
    </row>
    <row r="299" spans="2:7" x14ac:dyDescent="0.2">
      <c r="B299" s="188"/>
      <c r="D299" s="241"/>
      <c r="E299" s="241"/>
      <c r="F299" s="241"/>
      <c r="G299" s="241"/>
    </row>
    <row r="300" spans="2:7" x14ac:dyDescent="0.2">
      <c r="B300" s="188"/>
      <c r="D300" s="241"/>
      <c r="E300" s="241"/>
      <c r="F300" s="241"/>
      <c r="G300" s="241"/>
    </row>
    <row r="301" spans="2:7" x14ac:dyDescent="0.2">
      <c r="B301" s="188"/>
      <c r="D301" s="241"/>
      <c r="E301" s="241"/>
      <c r="F301" s="241"/>
      <c r="G301" s="241"/>
    </row>
    <row r="302" spans="2:7" x14ac:dyDescent="0.2">
      <c r="B302" s="188"/>
      <c r="D302" s="241"/>
      <c r="E302" s="241"/>
      <c r="F302" s="241"/>
      <c r="G302" s="241"/>
    </row>
    <row r="303" spans="2:7" x14ac:dyDescent="0.2">
      <c r="B303" s="188"/>
      <c r="D303" s="241"/>
      <c r="E303" s="241"/>
      <c r="F303" s="241"/>
      <c r="G303" s="241"/>
    </row>
    <row r="304" spans="2:7" x14ac:dyDescent="0.2">
      <c r="B304" s="188"/>
      <c r="D304" s="241"/>
      <c r="E304" s="241"/>
      <c r="F304" s="241"/>
      <c r="G304" s="241"/>
    </row>
    <row r="305" spans="2:7" x14ac:dyDescent="0.2">
      <c r="B305" s="188"/>
      <c r="D305" s="241"/>
      <c r="E305" s="241"/>
      <c r="F305" s="241"/>
      <c r="G305" s="241"/>
    </row>
    <row r="306" spans="2:7" x14ac:dyDescent="0.2">
      <c r="B306" s="188"/>
      <c r="D306" s="241"/>
      <c r="E306" s="241"/>
      <c r="F306" s="241"/>
      <c r="G306" s="241"/>
    </row>
    <row r="307" spans="2:7" x14ac:dyDescent="0.2">
      <c r="B307" s="188"/>
      <c r="D307" s="241"/>
      <c r="E307" s="241"/>
      <c r="F307" s="241"/>
      <c r="G307" s="241"/>
    </row>
    <row r="308" spans="2:7" x14ac:dyDescent="0.2">
      <c r="B308" s="188"/>
      <c r="D308" s="241"/>
      <c r="E308" s="241"/>
      <c r="F308" s="241"/>
      <c r="G308" s="241"/>
    </row>
    <row r="309" spans="2:7" x14ac:dyDescent="0.2">
      <c r="B309" s="188"/>
      <c r="D309" s="241"/>
      <c r="E309" s="241"/>
      <c r="F309" s="241"/>
      <c r="G309" s="241"/>
    </row>
    <row r="310" spans="2:7" x14ac:dyDescent="0.2">
      <c r="B310" s="188"/>
      <c r="D310" s="241"/>
      <c r="E310" s="241"/>
      <c r="F310" s="241"/>
      <c r="G310" s="241"/>
    </row>
    <row r="311" spans="2:7" x14ac:dyDescent="0.2">
      <c r="B311" s="188"/>
      <c r="D311" s="241"/>
      <c r="E311" s="241"/>
      <c r="F311" s="241"/>
      <c r="G311" s="241"/>
    </row>
    <row r="312" spans="2:7" x14ac:dyDescent="0.2">
      <c r="B312" s="188"/>
      <c r="D312" s="241"/>
      <c r="E312" s="241"/>
      <c r="F312" s="241"/>
      <c r="G312" s="241"/>
    </row>
    <row r="313" spans="2:7" x14ac:dyDescent="0.2">
      <c r="B313" s="188"/>
      <c r="D313" s="241"/>
      <c r="E313" s="241"/>
      <c r="F313" s="241"/>
      <c r="G313" s="241"/>
    </row>
    <row r="314" spans="2:7" x14ac:dyDescent="0.2">
      <c r="B314" s="188"/>
      <c r="D314" s="241"/>
      <c r="E314" s="241"/>
      <c r="F314" s="241"/>
      <c r="G314" s="241"/>
    </row>
    <row r="315" spans="2:7" x14ac:dyDescent="0.2">
      <c r="B315" s="188"/>
      <c r="D315" s="241"/>
      <c r="E315" s="241"/>
      <c r="F315" s="241"/>
      <c r="G315" s="241"/>
    </row>
    <row r="316" spans="2:7" x14ac:dyDescent="0.2">
      <c r="B316" s="188"/>
      <c r="D316" s="241"/>
      <c r="E316" s="241"/>
      <c r="F316" s="241"/>
      <c r="G316" s="241"/>
    </row>
    <row r="317" spans="2:7" x14ac:dyDescent="0.2">
      <c r="B317" s="188"/>
      <c r="D317" s="241"/>
      <c r="E317" s="241"/>
      <c r="F317" s="241"/>
      <c r="G317" s="241"/>
    </row>
    <row r="318" spans="2:7" x14ac:dyDescent="0.2">
      <c r="B318" s="188"/>
      <c r="D318" s="241"/>
      <c r="E318" s="241"/>
      <c r="F318" s="241"/>
      <c r="G318" s="241"/>
    </row>
    <row r="319" spans="2:7" x14ac:dyDescent="0.2">
      <c r="B319" s="188"/>
      <c r="D319" s="241"/>
      <c r="E319" s="241"/>
      <c r="F319" s="241"/>
      <c r="G319" s="241"/>
    </row>
    <row r="320" spans="2:7" x14ac:dyDescent="0.2">
      <c r="B320" s="188"/>
      <c r="D320" s="241"/>
      <c r="E320" s="241"/>
      <c r="F320" s="241"/>
      <c r="G320" s="241"/>
    </row>
    <row r="321" spans="2:7" x14ac:dyDescent="0.2">
      <c r="B321" s="188"/>
      <c r="D321" s="241"/>
      <c r="E321" s="241"/>
      <c r="F321" s="241"/>
      <c r="G321" s="241"/>
    </row>
    <row r="322" spans="2:7" x14ac:dyDescent="0.2">
      <c r="B322" s="188"/>
      <c r="D322" s="241"/>
      <c r="E322" s="241"/>
      <c r="F322" s="241"/>
      <c r="G322" s="241"/>
    </row>
    <row r="323" spans="2:7" x14ac:dyDescent="0.2">
      <c r="B323" s="188"/>
      <c r="D323" s="241"/>
      <c r="E323" s="241"/>
      <c r="F323" s="241"/>
      <c r="G323" s="241"/>
    </row>
    <row r="324" spans="2:7" x14ac:dyDescent="0.2">
      <c r="B324" s="188"/>
      <c r="D324" s="241"/>
      <c r="E324" s="241"/>
      <c r="F324" s="241"/>
      <c r="G324" s="241"/>
    </row>
    <row r="325" spans="2:7" x14ac:dyDescent="0.2">
      <c r="B325" s="188"/>
      <c r="D325" s="241"/>
      <c r="E325" s="241"/>
      <c r="F325" s="241"/>
      <c r="G325" s="241"/>
    </row>
    <row r="326" spans="2:7" x14ac:dyDescent="0.2">
      <c r="B326" s="188"/>
      <c r="D326" s="241"/>
      <c r="E326" s="241"/>
      <c r="F326" s="241"/>
      <c r="G326" s="241"/>
    </row>
    <row r="327" spans="2:7" x14ac:dyDescent="0.2">
      <c r="B327" s="188"/>
      <c r="D327" s="241"/>
      <c r="E327" s="241"/>
      <c r="F327" s="241"/>
      <c r="G327" s="241"/>
    </row>
    <row r="328" spans="2:7" x14ac:dyDescent="0.2">
      <c r="B328" s="188"/>
      <c r="D328" s="241"/>
      <c r="E328" s="241"/>
      <c r="F328" s="241"/>
      <c r="G328" s="241"/>
    </row>
    <row r="329" spans="2:7" x14ac:dyDescent="0.2">
      <c r="B329" s="188"/>
      <c r="D329" s="241"/>
      <c r="E329" s="241"/>
      <c r="F329" s="241"/>
      <c r="G329" s="241"/>
    </row>
    <row r="330" spans="2:7" x14ac:dyDescent="0.2">
      <c r="B330" s="188"/>
      <c r="D330" s="241"/>
      <c r="E330" s="241"/>
      <c r="F330" s="241"/>
      <c r="G330" s="241"/>
    </row>
    <row r="331" spans="2:7" x14ac:dyDescent="0.2">
      <c r="B331" s="188"/>
      <c r="D331" s="241"/>
      <c r="E331" s="241"/>
      <c r="F331" s="241"/>
      <c r="G331" s="241"/>
    </row>
    <row r="332" spans="2:7" x14ac:dyDescent="0.2">
      <c r="B332" s="188"/>
      <c r="D332" s="241"/>
      <c r="E332" s="241"/>
      <c r="F332" s="241"/>
      <c r="G332" s="241"/>
    </row>
    <row r="333" spans="2:7" x14ac:dyDescent="0.2">
      <c r="B333" s="188"/>
      <c r="D333" s="241"/>
      <c r="E333" s="241"/>
      <c r="F333" s="241"/>
      <c r="G333" s="241"/>
    </row>
    <row r="334" spans="2:7" x14ac:dyDescent="0.2">
      <c r="B334" s="188"/>
      <c r="D334" s="241"/>
      <c r="E334" s="241"/>
      <c r="F334" s="241"/>
      <c r="G334" s="241"/>
    </row>
    <row r="335" spans="2:7" x14ac:dyDescent="0.2">
      <c r="B335" s="188"/>
      <c r="D335" s="241"/>
      <c r="E335" s="241"/>
      <c r="F335" s="241"/>
      <c r="G335" s="241"/>
    </row>
    <row r="336" spans="2:7" x14ac:dyDescent="0.2">
      <c r="B336" s="188"/>
      <c r="D336" s="241"/>
      <c r="E336" s="241"/>
      <c r="F336" s="241"/>
      <c r="G336" s="241"/>
    </row>
    <row r="337" spans="2:7" x14ac:dyDescent="0.2">
      <c r="B337" s="188"/>
      <c r="D337" s="241"/>
      <c r="E337" s="241"/>
      <c r="F337" s="241"/>
      <c r="G337" s="241"/>
    </row>
    <row r="338" spans="2:7" x14ac:dyDescent="0.2">
      <c r="B338" s="188"/>
      <c r="D338" s="241"/>
      <c r="E338" s="241"/>
      <c r="F338" s="241"/>
      <c r="G338" s="241"/>
    </row>
    <row r="339" spans="2:7" x14ac:dyDescent="0.2">
      <c r="B339" s="188"/>
      <c r="D339" s="241"/>
      <c r="E339" s="241"/>
      <c r="F339" s="241"/>
      <c r="G339" s="241"/>
    </row>
    <row r="340" spans="2:7" x14ac:dyDescent="0.2">
      <c r="B340" s="188"/>
      <c r="D340" s="241"/>
      <c r="E340" s="241"/>
      <c r="F340" s="241"/>
      <c r="G340" s="241"/>
    </row>
    <row r="341" spans="2:7" x14ac:dyDescent="0.2">
      <c r="B341" s="188"/>
      <c r="D341" s="241"/>
      <c r="E341" s="241"/>
      <c r="F341" s="241"/>
      <c r="G341" s="241"/>
    </row>
    <row r="342" spans="2:7" x14ac:dyDescent="0.2">
      <c r="B342" s="188"/>
      <c r="D342" s="241"/>
      <c r="E342" s="241"/>
      <c r="F342" s="241"/>
      <c r="G342" s="241"/>
    </row>
    <row r="343" spans="2:7" x14ac:dyDescent="0.2">
      <c r="B343" s="188"/>
      <c r="D343" s="241"/>
      <c r="E343" s="241"/>
      <c r="F343" s="241"/>
      <c r="G343" s="241"/>
    </row>
    <row r="344" spans="2:7" x14ac:dyDescent="0.2">
      <c r="B344" s="188"/>
      <c r="D344" s="241"/>
      <c r="E344" s="241"/>
      <c r="F344" s="241"/>
      <c r="G344" s="241"/>
    </row>
    <row r="345" spans="2:7" x14ac:dyDescent="0.2">
      <c r="B345" s="188"/>
      <c r="D345" s="241"/>
      <c r="E345" s="241"/>
      <c r="F345" s="241"/>
      <c r="G345" s="241"/>
    </row>
    <row r="346" spans="2:7" x14ac:dyDescent="0.2">
      <c r="B346" s="188"/>
      <c r="D346" s="241"/>
      <c r="E346" s="241"/>
      <c r="F346" s="241"/>
      <c r="G346" s="241"/>
    </row>
    <row r="347" spans="2:7" x14ac:dyDescent="0.2">
      <c r="B347" s="188"/>
      <c r="D347" s="241"/>
      <c r="E347" s="241"/>
      <c r="F347" s="241"/>
      <c r="G347" s="241"/>
    </row>
    <row r="348" spans="2:7" x14ac:dyDescent="0.2">
      <c r="B348" s="188"/>
      <c r="D348" s="241"/>
      <c r="E348" s="241"/>
      <c r="F348" s="241"/>
      <c r="G348" s="241"/>
    </row>
    <row r="349" spans="2:7" x14ac:dyDescent="0.2">
      <c r="B349" s="188"/>
      <c r="D349" s="241"/>
      <c r="E349" s="241"/>
      <c r="F349" s="241"/>
      <c r="G349" s="241"/>
    </row>
    <row r="350" spans="2:7" x14ac:dyDescent="0.2">
      <c r="B350" s="188"/>
      <c r="D350" s="241"/>
      <c r="E350" s="241"/>
      <c r="F350" s="241"/>
      <c r="G350" s="241"/>
    </row>
    <row r="351" spans="2:7" x14ac:dyDescent="0.2">
      <c r="B351" s="188"/>
      <c r="D351" s="241"/>
      <c r="E351" s="241"/>
      <c r="F351" s="241"/>
      <c r="G351" s="241"/>
    </row>
    <row r="352" spans="2:7" x14ac:dyDescent="0.2">
      <c r="B352" s="188"/>
      <c r="D352" s="241"/>
      <c r="E352" s="241"/>
      <c r="F352" s="241"/>
      <c r="G352" s="241"/>
    </row>
    <row r="353" spans="2:7" x14ac:dyDescent="0.2">
      <c r="B353" s="188"/>
      <c r="D353" s="241"/>
      <c r="E353" s="241"/>
      <c r="F353" s="241"/>
      <c r="G353" s="241"/>
    </row>
    <row r="354" spans="2:7" x14ac:dyDescent="0.2">
      <c r="B354" s="188"/>
      <c r="D354" s="241"/>
      <c r="E354" s="241"/>
      <c r="F354" s="241"/>
      <c r="G354" s="241"/>
    </row>
    <row r="355" spans="2:7" x14ac:dyDescent="0.2">
      <c r="B355" s="188"/>
      <c r="D355" s="241"/>
      <c r="E355" s="241"/>
      <c r="F355" s="241"/>
      <c r="G355" s="241"/>
    </row>
    <row r="356" spans="2:7" x14ac:dyDescent="0.2">
      <c r="B356" s="188"/>
      <c r="D356" s="241"/>
      <c r="E356" s="241"/>
      <c r="F356" s="241"/>
      <c r="G356" s="241"/>
    </row>
    <row r="357" spans="2:7" x14ac:dyDescent="0.2">
      <c r="B357" s="188"/>
      <c r="D357" s="241"/>
      <c r="E357" s="241"/>
      <c r="F357" s="241"/>
      <c r="G357" s="241"/>
    </row>
    <row r="358" spans="2:7" x14ac:dyDescent="0.2">
      <c r="B358" s="188"/>
      <c r="D358" s="241"/>
      <c r="E358" s="241"/>
      <c r="F358" s="241"/>
      <c r="G358" s="241"/>
    </row>
    <row r="359" spans="2:7" x14ac:dyDescent="0.2">
      <c r="B359" s="188"/>
      <c r="D359" s="241"/>
      <c r="E359" s="241"/>
      <c r="F359" s="241"/>
      <c r="G359" s="241"/>
    </row>
    <row r="360" spans="2:7" x14ac:dyDescent="0.2">
      <c r="B360" s="188"/>
      <c r="D360" s="241"/>
      <c r="E360" s="241"/>
      <c r="F360" s="241"/>
      <c r="G360" s="241"/>
    </row>
    <row r="361" spans="2:7" x14ac:dyDescent="0.2">
      <c r="B361" s="188"/>
      <c r="D361" s="241"/>
      <c r="E361" s="241"/>
      <c r="F361" s="241"/>
      <c r="G361" s="241"/>
    </row>
    <row r="362" spans="2:7" x14ac:dyDescent="0.2">
      <c r="B362" s="188"/>
      <c r="D362" s="241"/>
      <c r="E362" s="241"/>
      <c r="F362" s="241"/>
      <c r="G362" s="241"/>
    </row>
    <row r="363" spans="2:7" x14ac:dyDescent="0.2">
      <c r="B363" s="188"/>
      <c r="D363" s="241"/>
      <c r="E363" s="241"/>
      <c r="F363" s="241"/>
      <c r="G363" s="241"/>
    </row>
    <row r="364" spans="2:7" x14ac:dyDescent="0.2">
      <c r="B364" s="188"/>
      <c r="D364" s="241"/>
      <c r="E364" s="241"/>
      <c r="F364" s="241"/>
      <c r="G364" s="241"/>
    </row>
    <row r="365" spans="2:7" x14ac:dyDescent="0.2">
      <c r="B365" s="188"/>
      <c r="D365" s="241"/>
      <c r="E365" s="241"/>
      <c r="F365" s="241"/>
      <c r="G365" s="241"/>
    </row>
    <row r="366" spans="2:7" x14ac:dyDescent="0.2">
      <c r="B366" s="188"/>
      <c r="D366" s="241"/>
      <c r="E366" s="241"/>
      <c r="F366" s="241"/>
      <c r="G366" s="241"/>
    </row>
    <row r="367" spans="2:7" x14ac:dyDescent="0.2">
      <c r="B367" s="188"/>
      <c r="D367" s="241"/>
      <c r="E367" s="241"/>
      <c r="F367" s="241"/>
      <c r="G367" s="241"/>
    </row>
    <row r="368" spans="2:7" x14ac:dyDescent="0.2">
      <c r="B368" s="188"/>
      <c r="D368" s="241"/>
      <c r="E368" s="241"/>
      <c r="F368" s="241"/>
      <c r="G368" s="241"/>
    </row>
    <row r="369" spans="2:7" x14ac:dyDescent="0.2">
      <c r="B369" s="188"/>
      <c r="D369" s="241"/>
      <c r="E369" s="241"/>
      <c r="F369" s="241"/>
      <c r="G369" s="241"/>
    </row>
    <row r="370" spans="2:7" x14ac:dyDescent="0.2">
      <c r="B370" s="188"/>
      <c r="D370" s="241"/>
      <c r="E370" s="241"/>
      <c r="F370" s="241"/>
      <c r="G370" s="241"/>
    </row>
    <row r="371" spans="2:7" x14ac:dyDescent="0.2">
      <c r="B371" s="188"/>
      <c r="D371" s="241"/>
      <c r="E371" s="241"/>
      <c r="F371" s="241"/>
      <c r="G371" s="241"/>
    </row>
    <row r="372" spans="2:7" x14ac:dyDescent="0.2">
      <c r="B372" s="188"/>
      <c r="D372" s="241"/>
      <c r="E372" s="241"/>
      <c r="F372" s="241"/>
      <c r="G372" s="241"/>
    </row>
    <row r="373" spans="2:7" x14ac:dyDescent="0.2">
      <c r="B373" s="188"/>
      <c r="D373" s="241"/>
      <c r="E373" s="241"/>
      <c r="F373" s="241"/>
      <c r="G373" s="241"/>
    </row>
    <row r="374" spans="2:7" x14ac:dyDescent="0.2">
      <c r="B374" s="188"/>
      <c r="D374" s="241"/>
      <c r="E374" s="241"/>
      <c r="F374" s="241"/>
      <c r="G374" s="241"/>
    </row>
    <row r="375" spans="2:7" x14ac:dyDescent="0.2">
      <c r="B375" s="188"/>
      <c r="D375" s="241"/>
      <c r="E375" s="241"/>
      <c r="F375" s="241"/>
      <c r="G375" s="241"/>
    </row>
    <row r="376" spans="2:7" x14ac:dyDescent="0.2">
      <c r="B376" s="188"/>
      <c r="D376" s="241"/>
      <c r="E376" s="241"/>
      <c r="F376" s="241"/>
      <c r="G376" s="241"/>
    </row>
    <row r="377" spans="2:7" x14ac:dyDescent="0.2">
      <c r="B377" s="188"/>
      <c r="D377" s="241"/>
      <c r="E377" s="241"/>
      <c r="F377" s="241"/>
      <c r="G377" s="241"/>
    </row>
    <row r="378" spans="2:7" x14ac:dyDescent="0.2">
      <c r="B378" s="188"/>
      <c r="D378" s="241"/>
      <c r="E378" s="241"/>
      <c r="F378" s="241"/>
      <c r="G378" s="241"/>
    </row>
    <row r="379" spans="2:7" x14ac:dyDescent="0.2">
      <c r="B379" s="188"/>
      <c r="D379" s="241"/>
      <c r="E379" s="241"/>
      <c r="F379" s="241"/>
      <c r="G379" s="241"/>
    </row>
    <row r="380" spans="2:7" x14ac:dyDescent="0.2">
      <c r="B380" s="188"/>
      <c r="D380" s="241"/>
      <c r="E380" s="241"/>
      <c r="F380" s="241"/>
      <c r="G380" s="241"/>
    </row>
    <row r="381" spans="2:7" x14ac:dyDescent="0.2">
      <c r="B381" s="188"/>
      <c r="D381" s="241"/>
      <c r="E381" s="241"/>
      <c r="F381" s="241"/>
      <c r="G381" s="241"/>
    </row>
    <row r="382" spans="2:7" x14ac:dyDescent="0.2">
      <c r="B382" s="188"/>
      <c r="D382" s="241"/>
      <c r="E382" s="241"/>
      <c r="F382" s="241"/>
      <c r="G382" s="241"/>
    </row>
    <row r="383" spans="2:7" x14ac:dyDescent="0.2">
      <c r="B383" s="188"/>
      <c r="D383" s="241"/>
      <c r="E383" s="241"/>
      <c r="F383" s="241"/>
      <c r="G383" s="241"/>
    </row>
    <row r="384" spans="2:7" x14ac:dyDescent="0.2">
      <c r="B384" s="188"/>
      <c r="D384" s="241"/>
      <c r="E384" s="241"/>
      <c r="F384" s="241"/>
      <c r="G384" s="241"/>
    </row>
    <row r="385" spans="2:7" x14ac:dyDescent="0.2">
      <c r="B385" s="188"/>
      <c r="D385" s="241"/>
      <c r="E385" s="241"/>
      <c r="F385" s="241"/>
      <c r="G385" s="241"/>
    </row>
    <row r="386" spans="2:7" x14ac:dyDescent="0.2">
      <c r="B386" s="188"/>
      <c r="D386" s="241"/>
      <c r="E386" s="241"/>
      <c r="F386" s="241"/>
      <c r="G386" s="241"/>
    </row>
    <row r="387" spans="2:7" x14ac:dyDescent="0.2">
      <c r="B387" s="188"/>
      <c r="D387" s="241"/>
      <c r="E387" s="241"/>
      <c r="F387" s="241"/>
      <c r="G387" s="241"/>
    </row>
    <row r="388" spans="2:7" x14ac:dyDescent="0.2">
      <c r="B388" s="188"/>
      <c r="D388" s="241"/>
      <c r="E388" s="241"/>
      <c r="F388" s="241"/>
      <c r="G388" s="241"/>
    </row>
    <row r="389" spans="2:7" x14ac:dyDescent="0.2">
      <c r="B389" s="188"/>
      <c r="D389" s="241"/>
      <c r="E389" s="241"/>
      <c r="F389" s="241"/>
      <c r="G389" s="241"/>
    </row>
    <row r="390" spans="2:7" x14ac:dyDescent="0.2">
      <c r="B390" s="188"/>
      <c r="D390" s="241"/>
      <c r="E390" s="241"/>
      <c r="F390" s="241"/>
      <c r="G390" s="241"/>
    </row>
    <row r="391" spans="2:7" x14ac:dyDescent="0.2">
      <c r="B391" s="188"/>
      <c r="D391" s="241"/>
      <c r="E391" s="241"/>
      <c r="F391" s="241"/>
      <c r="G391" s="241"/>
    </row>
    <row r="392" spans="2:7" x14ac:dyDescent="0.2">
      <c r="B392" s="188"/>
      <c r="D392" s="241"/>
      <c r="E392" s="241"/>
      <c r="F392" s="241"/>
      <c r="G392" s="241"/>
    </row>
    <row r="393" spans="2:7" x14ac:dyDescent="0.2">
      <c r="B393" s="188"/>
      <c r="D393" s="241"/>
      <c r="E393" s="241"/>
      <c r="F393" s="241"/>
      <c r="G393" s="241"/>
    </row>
    <row r="394" spans="2:7" x14ac:dyDescent="0.2">
      <c r="B394" s="188"/>
      <c r="D394" s="241"/>
      <c r="E394" s="241"/>
      <c r="F394" s="241"/>
      <c r="G394" s="241"/>
    </row>
    <row r="395" spans="2:7" x14ac:dyDescent="0.2">
      <c r="B395" s="188"/>
      <c r="D395" s="241"/>
      <c r="E395" s="241"/>
      <c r="F395" s="241"/>
      <c r="G395" s="241"/>
    </row>
    <row r="396" spans="2:7" x14ac:dyDescent="0.2">
      <c r="B396" s="188"/>
      <c r="D396" s="241"/>
      <c r="E396" s="241"/>
      <c r="F396" s="241"/>
      <c r="G396" s="241"/>
    </row>
    <row r="397" spans="2:7" x14ac:dyDescent="0.2">
      <c r="B397" s="188"/>
      <c r="D397" s="241"/>
      <c r="E397" s="241"/>
      <c r="F397" s="241"/>
      <c r="G397" s="241"/>
    </row>
    <row r="398" spans="2:7" x14ac:dyDescent="0.2">
      <c r="B398" s="188"/>
      <c r="D398" s="241"/>
      <c r="E398" s="241"/>
      <c r="F398" s="241"/>
      <c r="G398" s="241"/>
    </row>
    <row r="399" spans="2:7" x14ac:dyDescent="0.2">
      <c r="B399" s="188"/>
      <c r="D399" s="241"/>
      <c r="E399" s="241"/>
      <c r="F399" s="241"/>
      <c r="G399" s="241"/>
    </row>
    <row r="400" spans="2:7" x14ac:dyDescent="0.2">
      <c r="B400" s="188"/>
      <c r="D400" s="241"/>
      <c r="E400" s="241"/>
      <c r="F400" s="241"/>
      <c r="G400" s="241"/>
    </row>
    <row r="401" spans="2:7" x14ac:dyDescent="0.2">
      <c r="B401" s="188"/>
      <c r="D401" s="241"/>
      <c r="E401" s="241"/>
      <c r="F401" s="241"/>
      <c r="G401" s="241"/>
    </row>
    <row r="402" spans="2:7" x14ac:dyDescent="0.2">
      <c r="B402" s="188"/>
      <c r="D402" s="241"/>
      <c r="E402" s="241"/>
      <c r="F402" s="241"/>
      <c r="G402" s="241"/>
    </row>
    <row r="403" spans="2:7" x14ac:dyDescent="0.2">
      <c r="B403" s="188"/>
      <c r="D403" s="241"/>
      <c r="E403" s="241"/>
      <c r="F403" s="241"/>
      <c r="G403" s="241"/>
    </row>
    <row r="404" spans="2:7" x14ac:dyDescent="0.2">
      <c r="B404" s="188"/>
      <c r="D404" s="241"/>
      <c r="E404" s="241"/>
      <c r="F404" s="241"/>
      <c r="G404" s="241"/>
    </row>
    <row r="405" spans="2:7" x14ac:dyDescent="0.2">
      <c r="B405" s="188"/>
      <c r="D405" s="241"/>
      <c r="E405" s="241"/>
      <c r="F405" s="241"/>
      <c r="G405" s="241"/>
    </row>
    <row r="406" spans="2:7" x14ac:dyDescent="0.2">
      <c r="B406" s="188"/>
      <c r="D406" s="241"/>
      <c r="E406" s="241"/>
      <c r="F406" s="241"/>
      <c r="G406" s="241"/>
    </row>
    <row r="407" spans="2:7" x14ac:dyDescent="0.2">
      <c r="B407" s="188"/>
      <c r="D407" s="241"/>
      <c r="E407" s="241"/>
      <c r="F407" s="241"/>
      <c r="G407" s="241"/>
    </row>
    <row r="408" spans="2:7" x14ac:dyDescent="0.2">
      <c r="B408" s="188"/>
      <c r="D408" s="241"/>
      <c r="E408" s="241"/>
      <c r="F408" s="241"/>
      <c r="G408" s="241"/>
    </row>
    <row r="409" spans="2:7" x14ac:dyDescent="0.2">
      <c r="B409" s="188"/>
      <c r="D409" s="241"/>
      <c r="E409" s="241"/>
      <c r="F409" s="241"/>
      <c r="G409" s="241"/>
    </row>
    <row r="410" spans="2:7" x14ac:dyDescent="0.2">
      <c r="B410" s="188"/>
      <c r="D410" s="241"/>
      <c r="E410" s="241"/>
      <c r="F410" s="241"/>
      <c r="G410" s="241"/>
    </row>
    <row r="411" spans="2:7" x14ac:dyDescent="0.2">
      <c r="B411" s="188"/>
      <c r="D411" s="241"/>
      <c r="E411" s="241"/>
      <c r="F411" s="241"/>
      <c r="G411" s="241"/>
    </row>
    <row r="412" spans="2:7" x14ac:dyDescent="0.2">
      <c r="B412" s="188"/>
      <c r="D412" s="241"/>
      <c r="E412" s="241"/>
      <c r="F412" s="241"/>
      <c r="G412" s="241"/>
    </row>
    <row r="413" spans="2:7" x14ac:dyDescent="0.2">
      <c r="B413" s="188"/>
      <c r="D413" s="241"/>
      <c r="E413" s="241"/>
      <c r="F413" s="241"/>
      <c r="G413" s="241"/>
    </row>
    <row r="414" spans="2:7" x14ac:dyDescent="0.2">
      <c r="B414" s="188"/>
      <c r="D414" s="241"/>
      <c r="E414" s="241"/>
      <c r="F414" s="241"/>
      <c r="G414" s="241"/>
    </row>
    <row r="415" spans="2:7" x14ac:dyDescent="0.2">
      <c r="B415" s="188"/>
      <c r="D415" s="241"/>
      <c r="E415" s="241"/>
      <c r="F415" s="241"/>
      <c r="G415" s="241"/>
    </row>
    <row r="416" spans="2:7" x14ac:dyDescent="0.2">
      <c r="B416" s="188"/>
      <c r="D416" s="241"/>
      <c r="E416" s="241"/>
      <c r="F416" s="241"/>
      <c r="G416" s="241"/>
    </row>
    <row r="417" spans="2:7" x14ac:dyDescent="0.2">
      <c r="B417" s="188"/>
      <c r="D417" s="241"/>
      <c r="E417" s="241"/>
      <c r="F417" s="241"/>
      <c r="G417" s="241"/>
    </row>
    <row r="418" spans="2:7" x14ac:dyDescent="0.2">
      <c r="B418" s="188"/>
      <c r="D418" s="241"/>
      <c r="E418" s="241"/>
      <c r="F418" s="241"/>
      <c r="G418" s="241"/>
    </row>
    <row r="419" spans="2:7" x14ac:dyDescent="0.2">
      <c r="B419" s="188"/>
      <c r="D419" s="241"/>
      <c r="E419" s="241"/>
      <c r="F419" s="241"/>
      <c r="G419" s="241"/>
    </row>
    <row r="420" spans="2:7" x14ac:dyDescent="0.2">
      <c r="B420" s="188"/>
      <c r="D420" s="241"/>
      <c r="E420" s="241"/>
      <c r="F420" s="241"/>
      <c r="G420" s="241"/>
    </row>
    <row r="421" spans="2:7" x14ac:dyDescent="0.2">
      <c r="B421" s="188"/>
      <c r="D421" s="241"/>
      <c r="E421" s="241"/>
      <c r="F421" s="241"/>
      <c r="G421" s="241"/>
    </row>
    <row r="422" spans="2:7" x14ac:dyDescent="0.2">
      <c r="B422" s="188"/>
      <c r="D422" s="241"/>
      <c r="E422" s="241"/>
      <c r="F422" s="241"/>
      <c r="G422" s="241"/>
    </row>
    <row r="423" spans="2:7" x14ac:dyDescent="0.2">
      <c r="B423" s="188"/>
      <c r="D423" s="241"/>
      <c r="E423" s="241"/>
      <c r="F423" s="241"/>
      <c r="G423" s="241"/>
    </row>
    <row r="424" spans="2:7" x14ac:dyDescent="0.2">
      <c r="B424" s="188"/>
      <c r="D424" s="241"/>
      <c r="E424" s="241"/>
      <c r="F424" s="241"/>
      <c r="G424" s="241"/>
    </row>
    <row r="425" spans="2:7" x14ac:dyDescent="0.2">
      <c r="B425" s="188"/>
      <c r="D425" s="241"/>
      <c r="E425" s="241"/>
      <c r="F425" s="241"/>
      <c r="G425" s="241"/>
    </row>
    <row r="426" spans="2:7" x14ac:dyDescent="0.2">
      <c r="B426" s="188"/>
      <c r="D426" s="241"/>
      <c r="E426" s="241"/>
      <c r="F426" s="241"/>
      <c r="G426" s="241"/>
    </row>
    <row r="427" spans="2:7" x14ac:dyDescent="0.2">
      <c r="B427" s="188"/>
      <c r="D427" s="241"/>
      <c r="E427" s="241"/>
      <c r="F427" s="241"/>
      <c r="G427" s="241"/>
    </row>
    <row r="428" spans="2:7" x14ac:dyDescent="0.2">
      <c r="B428" s="188"/>
      <c r="D428" s="241"/>
      <c r="E428" s="241"/>
      <c r="F428" s="241"/>
      <c r="G428" s="241"/>
    </row>
    <row r="429" spans="2:7" x14ac:dyDescent="0.2">
      <c r="B429" s="188"/>
      <c r="D429" s="241"/>
      <c r="E429" s="241"/>
      <c r="F429" s="241"/>
      <c r="G429" s="241"/>
    </row>
    <row r="430" spans="2:7" x14ac:dyDescent="0.2">
      <c r="B430" s="188"/>
      <c r="D430" s="241"/>
      <c r="E430" s="241"/>
      <c r="F430" s="241"/>
      <c r="G430" s="241"/>
    </row>
    <row r="431" spans="2:7" x14ac:dyDescent="0.2">
      <c r="B431" s="188"/>
      <c r="D431" s="241"/>
      <c r="E431" s="241"/>
      <c r="F431" s="241"/>
      <c r="G431" s="241"/>
    </row>
    <row r="432" spans="2:7" x14ac:dyDescent="0.2">
      <c r="B432" s="188"/>
      <c r="D432" s="241"/>
      <c r="E432" s="241"/>
      <c r="F432" s="241"/>
      <c r="G432" s="241"/>
    </row>
    <row r="433" spans="2:7" x14ac:dyDescent="0.2">
      <c r="B433" s="188"/>
      <c r="D433" s="241"/>
      <c r="E433" s="241"/>
      <c r="F433" s="241"/>
      <c r="G433" s="241"/>
    </row>
    <row r="434" spans="2:7" x14ac:dyDescent="0.2">
      <c r="B434" s="188"/>
      <c r="D434" s="241"/>
      <c r="E434" s="241"/>
      <c r="F434" s="241"/>
      <c r="G434" s="241"/>
    </row>
    <row r="435" spans="2:7" x14ac:dyDescent="0.2">
      <c r="B435" s="188"/>
      <c r="D435" s="241"/>
      <c r="E435" s="241"/>
      <c r="F435" s="241"/>
      <c r="G435" s="241"/>
    </row>
    <row r="436" spans="2:7" x14ac:dyDescent="0.2">
      <c r="B436" s="188"/>
      <c r="D436" s="241"/>
      <c r="E436" s="241"/>
      <c r="F436" s="241"/>
      <c r="G436" s="241"/>
    </row>
    <row r="437" spans="2:7" x14ac:dyDescent="0.2">
      <c r="B437" s="188"/>
      <c r="D437" s="241"/>
      <c r="E437" s="241"/>
      <c r="F437" s="241"/>
      <c r="G437" s="241"/>
    </row>
    <row r="438" spans="2:7" x14ac:dyDescent="0.2">
      <c r="B438" s="188"/>
      <c r="D438" s="241"/>
      <c r="E438" s="241"/>
      <c r="F438" s="241"/>
      <c r="G438" s="241"/>
    </row>
    <row r="439" spans="2:7" x14ac:dyDescent="0.2">
      <c r="B439" s="188"/>
      <c r="D439" s="241"/>
      <c r="E439" s="241"/>
      <c r="F439" s="241"/>
      <c r="G439" s="241"/>
    </row>
    <row r="440" spans="2:7" x14ac:dyDescent="0.2">
      <c r="B440" s="188"/>
      <c r="D440" s="241"/>
      <c r="E440" s="241"/>
      <c r="F440" s="241"/>
      <c r="G440" s="241"/>
    </row>
    <row r="441" spans="2:7" x14ac:dyDescent="0.2">
      <c r="B441" s="188"/>
      <c r="D441" s="241"/>
      <c r="E441" s="241"/>
      <c r="F441" s="241"/>
      <c r="G441" s="241"/>
    </row>
    <row r="442" spans="2:7" x14ac:dyDescent="0.2">
      <c r="B442" s="188"/>
      <c r="D442" s="241"/>
      <c r="E442" s="241"/>
      <c r="F442" s="241"/>
      <c r="G442" s="241"/>
    </row>
    <row r="443" spans="2:7" x14ac:dyDescent="0.2">
      <c r="B443" s="188"/>
      <c r="D443" s="241"/>
      <c r="E443" s="241"/>
      <c r="F443" s="241"/>
      <c r="G443" s="241"/>
    </row>
    <row r="444" spans="2:7" x14ac:dyDescent="0.2">
      <c r="B444" s="188"/>
      <c r="D444" s="241"/>
      <c r="E444" s="241"/>
      <c r="F444" s="241"/>
      <c r="G444" s="241"/>
    </row>
    <row r="445" spans="2:7" x14ac:dyDescent="0.2">
      <c r="B445" s="188"/>
      <c r="D445" s="241"/>
      <c r="E445" s="241"/>
      <c r="F445" s="241"/>
      <c r="G445" s="241"/>
    </row>
    <row r="446" spans="2:7" x14ac:dyDescent="0.2">
      <c r="B446" s="188"/>
      <c r="D446" s="241"/>
      <c r="E446" s="241"/>
      <c r="F446" s="241"/>
      <c r="G446" s="241"/>
    </row>
    <row r="447" spans="2:7" x14ac:dyDescent="0.2">
      <c r="B447" s="188"/>
      <c r="D447" s="241"/>
      <c r="E447" s="241"/>
      <c r="F447" s="241"/>
      <c r="G447" s="241"/>
    </row>
    <row r="448" spans="2:7" x14ac:dyDescent="0.2">
      <c r="B448" s="188"/>
      <c r="D448" s="241"/>
      <c r="E448" s="241"/>
      <c r="F448" s="241"/>
      <c r="G448" s="241"/>
    </row>
    <row r="449" spans="2:7" x14ac:dyDescent="0.2">
      <c r="B449" s="188"/>
      <c r="D449" s="241"/>
      <c r="E449" s="241"/>
      <c r="F449" s="241"/>
      <c r="G449" s="241"/>
    </row>
    <row r="450" spans="2:7" x14ac:dyDescent="0.2">
      <c r="B450" s="188"/>
      <c r="D450" s="241"/>
      <c r="E450" s="241"/>
      <c r="F450" s="241"/>
      <c r="G450" s="241"/>
    </row>
    <row r="451" spans="2:7" x14ac:dyDescent="0.2">
      <c r="B451" s="188"/>
      <c r="D451" s="241"/>
      <c r="E451" s="241"/>
      <c r="F451" s="241"/>
      <c r="G451" s="241"/>
    </row>
    <row r="452" spans="2:7" x14ac:dyDescent="0.2">
      <c r="B452" s="188"/>
      <c r="D452" s="241"/>
      <c r="E452" s="241"/>
      <c r="F452" s="241"/>
      <c r="G452" s="241"/>
    </row>
    <row r="453" spans="2:7" x14ac:dyDescent="0.2">
      <c r="B453" s="188"/>
      <c r="D453" s="241"/>
      <c r="E453" s="241"/>
      <c r="F453" s="241"/>
      <c r="G453" s="241"/>
    </row>
    <row r="454" spans="2:7" x14ac:dyDescent="0.2">
      <c r="B454" s="188"/>
      <c r="D454" s="241"/>
      <c r="E454" s="241"/>
      <c r="F454" s="241"/>
      <c r="G454" s="241"/>
    </row>
    <row r="455" spans="2:7" x14ac:dyDescent="0.2">
      <c r="B455" s="188"/>
      <c r="D455" s="241"/>
      <c r="E455" s="241"/>
      <c r="F455" s="241"/>
      <c r="G455" s="241"/>
    </row>
    <row r="456" spans="2:7" x14ac:dyDescent="0.2">
      <c r="B456" s="188"/>
      <c r="D456" s="241"/>
      <c r="E456" s="241"/>
      <c r="F456" s="241"/>
      <c r="G456" s="241"/>
    </row>
    <row r="457" spans="2:7" x14ac:dyDescent="0.2">
      <c r="B457" s="188"/>
      <c r="D457" s="241"/>
      <c r="E457" s="241"/>
      <c r="F457" s="241"/>
      <c r="G457" s="241"/>
    </row>
    <row r="458" spans="2:7" x14ac:dyDescent="0.2">
      <c r="B458" s="188"/>
      <c r="D458" s="241"/>
      <c r="E458" s="241"/>
      <c r="F458" s="241"/>
      <c r="G458" s="241"/>
    </row>
    <row r="459" spans="2:7" x14ac:dyDescent="0.2">
      <c r="B459" s="188"/>
      <c r="D459" s="241"/>
      <c r="E459" s="241"/>
      <c r="F459" s="241"/>
      <c r="G459" s="241"/>
    </row>
    <row r="460" spans="2:7" x14ac:dyDescent="0.2">
      <c r="B460" s="188"/>
      <c r="D460" s="241"/>
      <c r="E460" s="241"/>
      <c r="F460" s="241"/>
      <c r="G460" s="241"/>
    </row>
    <row r="461" spans="2:7" x14ac:dyDescent="0.2">
      <c r="B461" s="188"/>
      <c r="D461" s="241"/>
      <c r="E461" s="241"/>
      <c r="F461" s="241"/>
      <c r="G461" s="241"/>
    </row>
    <row r="462" spans="2:7" x14ac:dyDescent="0.2">
      <c r="B462" s="188"/>
      <c r="D462" s="241"/>
      <c r="E462" s="241"/>
      <c r="F462" s="241"/>
      <c r="G462" s="241"/>
    </row>
    <row r="463" spans="2:7" x14ac:dyDescent="0.2">
      <c r="B463" s="188"/>
      <c r="D463" s="241"/>
      <c r="E463" s="241"/>
      <c r="F463" s="241"/>
      <c r="G463" s="241"/>
    </row>
    <row r="464" spans="2:7" x14ac:dyDescent="0.2">
      <c r="B464" s="188"/>
      <c r="D464" s="241"/>
      <c r="E464" s="241"/>
      <c r="F464" s="241"/>
      <c r="G464" s="241"/>
    </row>
    <row r="465" spans="2:7" x14ac:dyDescent="0.2">
      <c r="B465" s="188"/>
      <c r="D465" s="241"/>
      <c r="E465" s="241"/>
      <c r="F465" s="241"/>
      <c r="G465" s="241"/>
    </row>
    <row r="466" spans="2:7" x14ac:dyDescent="0.2">
      <c r="B466" s="188"/>
      <c r="D466" s="241"/>
      <c r="E466" s="241"/>
      <c r="F466" s="241"/>
      <c r="G466" s="241"/>
    </row>
    <row r="467" spans="2:7" x14ac:dyDescent="0.2">
      <c r="B467" s="188"/>
      <c r="D467" s="241"/>
      <c r="E467" s="241"/>
      <c r="F467" s="241"/>
      <c r="G467" s="241"/>
    </row>
    <row r="468" spans="2:7" x14ac:dyDescent="0.2">
      <c r="B468" s="188"/>
      <c r="D468" s="241"/>
      <c r="E468" s="241"/>
      <c r="F468" s="241"/>
      <c r="G468" s="241"/>
    </row>
    <row r="469" spans="2:7" x14ac:dyDescent="0.2">
      <c r="B469" s="188"/>
      <c r="D469" s="241"/>
      <c r="E469" s="241"/>
      <c r="F469" s="241"/>
      <c r="G469" s="241"/>
    </row>
    <row r="470" spans="2:7" x14ac:dyDescent="0.2">
      <c r="B470" s="188"/>
      <c r="D470" s="241"/>
      <c r="E470" s="241"/>
      <c r="F470" s="241"/>
      <c r="G470" s="241"/>
    </row>
    <row r="471" spans="2:7" x14ac:dyDescent="0.2">
      <c r="B471" s="188"/>
      <c r="D471" s="241"/>
      <c r="E471" s="241"/>
      <c r="F471" s="241"/>
      <c r="G471" s="241"/>
    </row>
    <row r="472" spans="2:7" x14ac:dyDescent="0.2">
      <c r="B472" s="188"/>
      <c r="D472" s="241"/>
      <c r="E472" s="241"/>
      <c r="F472" s="241"/>
      <c r="G472" s="241"/>
    </row>
    <row r="473" spans="2:7" x14ac:dyDescent="0.2">
      <c r="B473" s="188"/>
      <c r="D473" s="241"/>
      <c r="E473" s="241"/>
      <c r="F473" s="241"/>
      <c r="G473" s="241"/>
    </row>
    <row r="474" spans="2:7" x14ac:dyDescent="0.2">
      <c r="B474" s="188"/>
      <c r="D474" s="241"/>
      <c r="E474" s="241"/>
      <c r="F474" s="241"/>
      <c r="G474" s="241"/>
    </row>
    <row r="475" spans="2:7" x14ac:dyDescent="0.2">
      <c r="B475" s="188"/>
      <c r="D475" s="241"/>
      <c r="E475" s="241"/>
      <c r="F475" s="241"/>
      <c r="G475" s="241"/>
    </row>
    <row r="476" spans="2:7" x14ac:dyDescent="0.2">
      <c r="B476" s="188"/>
      <c r="D476" s="241"/>
      <c r="E476" s="241"/>
      <c r="F476" s="241"/>
      <c r="G476" s="241"/>
    </row>
    <row r="477" spans="2:7" x14ac:dyDescent="0.2">
      <c r="B477" s="188"/>
      <c r="D477" s="241"/>
      <c r="E477" s="241"/>
      <c r="F477" s="241"/>
      <c r="G477" s="241"/>
    </row>
    <row r="478" spans="2:7" x14ac:dyDescent="0.2">
      <c r="B478" s="188"/>
      <c r="D478" s="241"/>
      <c r="E478" s="241"/>
      <c r="F478" s="241"/>
      <c r="G478" s="241"/>
    </row>
    <row r="479" spans="2:7" x14ac:dyDescent="0.2">
      <c r="B479" s="188"/>
      <c r="D479" s="241"/>
      <c r="E479" s="241"/>
      <c r="F479" s="241"/>
      <c r="G479" s="241"/>
    </row>
    <row r="480" spans="2:7" x14ac:dyDescent="0.2">
      <c r="B480" s="188"/>
      <c r="D480" s="241"/>
      <c r="E480" s="241"/>
      <c r="F480" s="241"/>
      <c r="G480" s="241"/>
    </row>
    <row r="481" spans="2:7" x14ac:dyDescent="0.2">
      <c r="B481" s="188"/>
      <c r="D481" s="241"/>
      <c r="E481" s="241"/>
      <c r="F481" s="241"/>
      <c r="G481" s="241"/>
    </row>
    <row r="482" spans="2:7" x14ac:dyDescent="0.2">
      <c r="B482" s="188"/>
      <c r="D482" s="241"/>
      <c r="E482" s="241"/>
      <c r="F482" s="241"/>
      <c r="G482" s="241"/>
    </row>
    <row r="483" spans="2:7" x14ac:dyDescent="0.2">
      <c r="B483" s="188"/>
      <c r="D483" s="241"/>
      <c r="E483" s="241"/>
      <c r="F483" s="241"/>
      <c r="G483" s="241"/>
    </row>
    <row r="484" spans="2:7" x14ac:dyDescent="0.2">
      <c r="B484" s="188"/>
      <c r="D484" s="241"/>
      <c r="E484" s="241"/>
      <c r="F484" s="241"/>
      <c r="G484" s="241"/>
    </row>
    <row r="485" spans="2:7" x14ac:dyDescent="0.2">
      <c r="B485" s="188"/>
      <c r="D485" s="241"/>
      <c r="E485" s="241"/>
      <c r="F485" s="241"/>
      <c r="G485" s="241"/>
    </row>
    <row r="486" spans="2:7" x14ac:dyDescent="0.2">
      <c r="B486" s="188"/>
      <c r="D486" s="241"/>
      <c r="E486" s="241"/>
      <c r="F486" s="241"/>
      <c r="G486" s="241"/>
    </row>
    <row r="487" spans="2:7" x14ac:dyDescent="0.2">
      <c r="B487" s="188"/>
      <c r="D487" s="241"/>
      <c r="E487" s="241"/>
      <c r="F487" s="241"/>
      <c r="G487" s="241"/>
    </row>
    <row r="488" spans="2:7" x14ac:dyDescent="0.2">
      <c r="B488" s="188"/>
      <c r="D488" s="241"/>
      <c r="E488" s="241"/>
      <c r="F488" s="241"/>
      <c r="G488" s="241"/>
    </row>
    <row r="489" spans="2:7" x14ac:dyDescent="0.2">
      <c r="B489" s="188"/>
      <c r="D489" s="241"/>
      <c r="E489" s="241"/>
      <c r="F489" s="241"/>
      <c r="G489" s="241"/>
    </row>
    <row r="490" spans="2:7" x14ac:dyDescent="0.2">
      <c r="B490" s="188"/>
      <c r="D490" s="241"/>
      <c r="E490" s="241"/>
      <c r="F490" s="241"/>
      <c r="G490" s="241"/>
    </row>
    <row r="491" spans="2:7" x14ac:dyDescent="0.2">
      <c r="B491" s="188"/>
      <c r="D491" s="241"/>
      <c r="E491" s="241"/>
      <c r="F491" s="241"/>
      <c r="G491" s="241"/>
    </row>
    <row r="492" spans="2:7" x14ac:dyDescent="0.2">
      <c r="B492" s="188"/>
      <c r="D492" s="241"/>
      <c r="E492" s="241"/>
      <c r="F492" s="241"/>
      <c r="G492" s="241"/>
    </row>
    <row r="493" spans="2:7" x14ac:dyDescent="0.2">
      <c r="B493" s="188"/>
      <c r="D493" s="241"/>
      <c r="E493" s="241"/>
      <c r="F493" s="241"/>
      <c r="G493" s="241"/>
    </row>
    <row r="494" spans="2:7" x14ac:dyDescent="0.2">
      <c r="B494" s="188"/>
      <c r="D494" s="241"/>
      <c r="E494" s="241"/>
      <c r="F494" s="241"/>
      <c r="G494" s="241"/>
    </row>
    <row r="495" spans="2:7" x14ac:dyDescent="0.2">
      <c r="B495" s="188"/>
      <c r="D495" s="241"/>
      <c r="E495" s="241"/>
      <c r="F495" s="241"/>
      <c r="G495" s="241"/>
    </row>
    <row r="496" spans="2:7" x14ac:dyDescent="0.2">
      <c r="B496" s="188"/>
      <c r="D496" s="241"/>
      <c r="E496" s="241"/>
      <c r="F496" s="241"/>
      <c r="G496" s="241"/>
    </row>
    <row r="497" spans="2:7" x14ac:dyDescent="0.2">
      <c r="B497" s="188"/>
      <c r="D497" s="241"/>
      <c r="E497" s="241"/>
      <c r="F497" s="241"/>
      <c r="G497" s="241"/>
    </row>
    <row r="498" spans="2:7" x14ac:dyDescent="0.2">
      <c r="B498" s="188"/>
      <c r="D498" s="241"/>
      <c r="E498" s="241"/>
      <c r="F498" s="241"/>
      <c r="G498" s="241"/>
    </row>
    <row r="499" spans="2:7" x14ac:dyDescent="0.2">
      <c r="B499" s="188"/>
      <c r="D499" s="241"/>
      <c r="E499" s="241"/>
      <c r="F499" s="241"/>
      <c r="G499" s="241"/>
    </row>
    <row r="500" spans="2:7" x14ac:dyDescent="0.2">
      <c r="B500" s="188"/>
      <c r="D500" s="241"/>
      <c r="E500" s="241"/>
      <c r="F500" s="241"/>
      <c r="G500" s="241"/>
    </row>
    <row r="501" spans="2:7" x14ac:dyDescent="0.2">
      <c r="B501" s="188"/>
      <c r="D501" s="241"/>
      <c r="E501" s="241"/>
      <c r="F501" s="241"/>
      <c r="G501" s="241"/>
    </row>
    <row r="502" spans="2:7" x14ac:dyDescent="0.2">
      <c r="B502" s="188"/>
      <c r="D502" s="241"/>
      <c r="E502" s="241"/>
      <c r="F502" s="241"/>
      <c r="G502" s="241"/>
    </row>
    <row r="503" spans="2:7" x14ac:dyDescent="0.2">
      <c r="B503" s="188"/>
      <c r="D503" s="241"/>
      <c r="E503" s="241"/>
      <c r="F503" s="241"/>
      <c r="G503" s="241"/>
    </row>
    <row r="504" spans="2:7" x14ac:dyDescent="0.2">
      <c r="B504" s="188"/>
      <c r="D504" s="241"/>
      <c r="E504" s="241"/>
      <c r="F504" s="241"/>
      <c r="G504" s="241"/>
    </row>
    <row r="505" spans="2:7" x14ac:dyDescent="0.2">
      <c r="B505" s="188"/>
      <c r="D505" s="241"/>
      <c r="E505" s="241"/>
      <c r="F505" s="241"/>
      <c r="G505" s="241"/>
    </row>
    <row r="506" spans="2:7" x14ac:dyDescent="0.2">
      <c r="B506" s="188"/>
      <c r="D506" s="241"/>
      <c r="E506" s="241"/>
      <c r="F506" s="241"/>
      <c r="G506" s="241"/>
    </row>
    <row r="507" spans="2:7" x14ac:dyDescent="0.2">
      <c r="B507" s="188"/>
      <c r="D507" s="241"/>
      <c r="E507" s="241"/>
      <c r="F507" s="241"/>
      <c r="G507" s="241"/>
    </row>
    <row r="508" spans="2:7" x14ac:dyDescent="0.2">
      <c r="B508" s="188"/>
      <c r="D508" s="241"/>
      <c r="E508" s="241"/>
      <c r="F508" s="241"/>
      <c r="G508" s="241"/>
    </row>
    <row r="509" spans="2:7" x14ac:dyDescent="0.2">
      <c r="B509" s="188"/>
      <c r="D509" s="241"/>
      <c r="E509" s="241"/>
      <c r="F509" s="241"/>
      <c r="G509" s="241"/>
    </row>
    <row r="510" spans="2:7" x14ac:dyDescent="0.2">
      <c r="B510" s="188"/>
      <c r="D510" s="241"/>
      <c r="E510" s="241"/>
      <c r="F510" s="241"/>
      <c r="G510" s="241"/>
    </row>
    <row r="511" spans="2:7" x14ac:dyDescent="0.2">
      <c r="B511" s="188"/>
      <c r="D511" s="241"/>
      <c r="E511" s="241"/>
      <c r="F511" s="241"/>
      <c r="G511" s="241"/>
    </row>
    <row r="512" spans="2:7" x14ac:dyDescent="0.2">
      <c r="B512" s="188"/>
      <c r="D512" s="241"/>
      <c r="E512" s="241"/>
      <c r="F512" s="241"/>
      <c r="G512" s="241"/>
    </row>
    <row r="513" spans="2:7" x14ac:dyDescent="0.2">
      <c r="B513" s="188"/>
      <c r="D513" s="241"/>
      <c r="E513" s="241"/>
      <c r="F513" s="241"/>
      <c r="G513" s="241"/>
    </row>
    <row r="514" spans="2:7" x14ac:dyDescent="0.2">
      <c r="B514" s="188"/>
      <c r="D514" s="241"/>
      <c r="E514" s="241"/>
      <c r="F514" s="241"/>
      <c r="G514" s="241"/>
    </row>
    <row r="515" spans="2:7" x14ac:dyDescent="0.2">
      <c r="B515" s="188"/>
      <c r="D515" s="241"/>
      <c r="E515" s="241"/>
      <c r="F515" s="241"/>
      <c r="G515" s="241"/>
    </row>
    <row r="516" spans="2:7" x14ac:dyDescent="0.2">
      <c r="B516" s="188"/>
      <c r="D516" s="241"/>
      <c r="E516" s="241"/>
      <c r="F516" s="241"/>
      <c r="G516" s="241"/>
    </row>
    <row r="517" spans="2:7" x14ac:dyDescent="0.2">
      <c r="B517" s="188"/>
      <c r="D517" s="241"/>
      <c r="E517" s="241"/>
      <c r="F517" s="241"/>
      <c r="G517" s="241"/>
    </row>
    <row r="518" spans="2:7" x14ac:dyDescent="0.2">
      <c r="B518" s="188"/>
      <c r="D518" s="241"/>
      <c r="E518" s="241"/>
      <c r="F518" s="241"/>
      <c r="G518" s="241"/>
    </row>
    <row r="519" spans="2:7" x14ac:dyDescent="0.2">
      <c r="B519" s="188"/>
      <c r="D519" s="241"/>
      <c r="E519" s="241"/>
      <c r="F519" s="241"/>
      <c r="G519" s="241"/>
    </row>
    <row r="520" spans="2:7" x14ac:dyDescent="0.2">
      <c r="B520" s="188"/>
      <c r="D520" s="241"/>
      <c r="E520" s="241"/>
      <c r="F520" s="241"/>
      <c r="G520" s="241"/>
    </row>
    <row r="521" spans="2:7" x14ac:dyDescent="0.2">
      <c r="B521" s="188"/>
      <c r="D521" s="241"/>
      <c r="E521" s="241"/>
      <c r="F521" s="241"/>
      <c r="G521" s="241"/>
    </row>
    <row r="522" spans="2:7" x14ac:dyDescent="0.2">
      <c r="B522" s="188"/>
      <c r="D522" s="241"/>
      <c r="E522" s="241"/>
      <c r="F522" s="241"/>
      <c r="G522" s="241"/>
    </row>
    <row r="523" spans="2:7" x14ac:dyDescent="0.2">
      <c r="B523" s="188"/>
      <c r="D523" s="241"/>
      <c r="E523" s="241"/>
      <c r="F523" s="241"/>
      <c r="G523" s="241"/>
    </row>
    <row r="524" spans="2:7" x14ac:dyDescent="0.2">
      <c r="B524" s="188"/>
      <c r="D524" s="241"/>
      <c r="E524" s="241"/>
      <c r="F524" s="241"/>
      <c r="G524" s="241"/>
    </row>
    <row r="525" spans="2:7" x14ac:dyDescent="0.2">
      <c r="B525" s="188"/>
      <c r="D525" s="241"/>
      <c r="E525" s="241"/>
      <c r="F525" s="241"/>
      <c r="G525" s="241"/>
    </row>
    <row r="526" spans="2:7" x14ac:dyDescent="0.2">
      <c r="B526" s="188"/>
      <c r="D526" s="241"/>
      <c r="E526" s="241"/>
      <c r="F526" s="241"/>
      <c r="G526" s="241"/>
    </row>
    <row r="527" spans="2:7" x14ac:dyDescent="0.2">
      <c r="B527" s="188"/>
      <c r="D527" s="241"/>
      <c r="E527" s="241"/>
      <c r="F527" s="241"/>
      <c r="G527" s="241"/>
    </row>
    <row r="528" spans="2:7" x14ac:dyDescent="0.2">
      <c r="B528" s="188"/>
      <c r="D528" s="241"/>
      <c r="E528" s="241"/>
      <c r="F528" s="241"/>
      <c r="G528" s="241"/>
    </row>
    <row r="529" spans="2:7" x14ac:dyDescent="0.2">
      <c r="B529" s="188"/>
      <c r="D529" s="241"/>
      <c r="E529" s="241"/>
      <c r="F529" s="241"/>
      <c r="G529" s="241"/>
    </row>
    <row r="530" spans="2:7" x14ac:dyDescent="0.2">
      <c r="B530" s="188"/>
      <c r="D530" s="241"/>
      <c r="E530" s="241"/>
      <c r="F530" s="241"/>
      <c r="G530" s="241"/>
    </row>
    <row r="531" spans="2:7" x14ac:dyDescent="0.2">
      <c r="B531" s="188"/>
      <c r="D531" s="241"/>
      <c r="E531" s="241"/>
      <c r="F531" s="241"/>
      <c r="G531" s="241"/>
    </row>
    <row r="532" spans="2:7" x14ac:dyDescent="0.2">
      <c r="B532" s="188"/>
      <c r="D532" s="241"/>
      <c r="E532" s="241"/>
      <c r="F532" s="241"/>
      <c r="G532" s="241"/>
    </row>
    <row r="533" spans="2:7" x14ac:dyDescent="0.2">
      <c r="B533" s="188"/>
      <c r="D533" s="241"/>
      <c r="E533" s="241"/>
      <c r="F533" s="241"/>
      <c r="G533" s="241"/>
    </row>
    <row r="534" spans="2:7" x14ac:dyDescent="0.2">
      <c r="B534" s="188"/>
      <c r="D534" s="241"/>
      <c r="E534" s="241"/>
      <c r="F534" s="241"/>
      <c r="G534" s="241"/>
    </row>
    <row r="535" spans="2:7" x14ac:dyDescent="0.2">
      <c r="B535" s="188"/>
      <c r="D535" s="241"/>
      <c r="E535" s="241"/>
      <c r="F535" s="241"/>
      <c r="G535" s="241"/>
    </row>
    <row r="536" spans="2:7" x14ac:dyDescent="0.2">
      <c r="B536" s="188"/>
      <c r="D536" s="241"/>
      <c r="E536" s="241"/>
      <c r="F536" s="241"/>
      <c r="G536" s="241"/>
    </row>
    <row r="537" spans="2:7" x14ac:dyDescent="0.2">
      <c r="B537" s="188"/>
      <c r="D537" s="241"/>
      <c r="E537" s="241"/>
      <c r="F537" s="241"/>
      <c r="G537" s="241"/>
    </row>
    <row r="538" spans="2:7" x14ac:dyDescent="0.2">
      <c r="B538" s="188"/>
      <c r="D538" s="241"/>
      <c r="E538" s="241"/>
      <c r="F538" s="241"/>
      <c r="G538" s="241"/>
    </row>
    <row r="539" spans="2:7" x14ac:dyDescent="0.2">
      <c r="B539" s="188"/>
      <c r="D539" s="241"/>
      <c r="E539" s="241"/>
      <c r="F539" s="241"/>
      <c r="G539" s="241"/>
    </row>
    <row r="540" spans="2:7" x14ac:dyDescent="0.2">
      <c r="B540" s="188"/>
      <c r="D540" s="241"/>
      <c r="E540" s="241"/>
      <c r="F540" s="241"/>
      <c r="G540" s="241"/>
    </row>
    <row r="541" spans="2:7" x14ac:dyDescent="0.2">
      <c r="B541" s="188"/>
      <c r="D541" s="241"/>
      <c r="E541" s="241"/>
      <c r="F541" s="241"/>
      <c r="G541" s="241"/>
    </row>
    <row r="542" spans="2:7" x14ac:dyDescent="0.2">
      <c r="B542" s="188"/>
      <c r="D542" s="241"/>
      <c r="E542" s="241"/>
      <c r="F542" s="241"/>
      <c r="G542" s="241"/>
    </row>
    <row r="543" spans="2:7" x14ac:dyDescent="0.2">
      <c r="B543" s="188"/>
      <c r="D543" s="241"/>
      <c r="E543" s="241"/>
      <c r="F543" s="241"/>
      <c r="G543" s="241"/>
    </row>
    <row r="544" spans="2:7" x14ac:dyDescent="0.2">
      <c r="B544" s="188"/>
      <c r="D544" s="241"/>
      <c r="E544" s="241"/>
      <c r="F544" s="241"/>
      <c r="G544" s="241"/>
    </row>
    <row r="545" spans="2:7" x14ac:dyDescent="0.2">
      <c r="B545" s="188"/>
      <c r="D545" s="241"/>
      <c r="E545" s="241"/>
      <c r="F545" s="241"/>
      <c r="G545" s="241"/>
    </row>
    <row r="546" spans="2:7" x14ac:dyDescent="0.2">
      <c r="B546" s="188"/>
      <c r="D546" s="241"/>
      <c r="E546" s="241"/>
      <c r="F546" s="241"/>
      <c r="G546" s="241"/>
    </row>
    <row r="547" spans="2:7" x14ac:dyDescent="0.2">
      <c r="B547" s="188"/>
      <c r="D547" s="241"/>
      <c r="E547" s="241"/>
      <c r="F547" s="241"/>
      <c r="G547" s="241"/>
    </row>
    <row r="548" spans="2:7" x14ac:dyDescent="0.2">
      <c r="B548" s="188"/>
      <c r="D548" s="241"/>
      <c r="E548" s="241"/>
      <c r="F548" s="241"/>
      <c r="G548" s="241"/>
    </row>
    <row r="549" spans="2:7" x14ac:dyDescent="0.2">
      <c r="B549" s="188"/>
      <c r="D549" s="241"/>
      <c r="E549" s="241"/>
      <c r="F549" s="241"/>
      <c r="G549" s="241"/>
    </row>
    <row r="550" spans="2:7" x14ac:dyDescent="0.2">
      <c r="B550" s="188"/>
      <c r="D550" s="241"/>
      <c r="E550" s="241"/>
      <c r="F550" s="241"/>
      <c r="G550" s="241"/>
    </row>
    <row r="551" spans="2:7" x14ac:dyDescent="0.2">
      <c r="B551" s="188"/>
      <c r="D551" s="241"/>
      <c r="E551" s="241"/>
      <c r="F551" s="241"/>
      <c r="G551" s="241"/>
    </row>
    <row r="552" spans="2:7" x14ac:dyDescent="0.2">
      <c r="B552" s="188"/>
      <c r="D552" s="241"/>
      <c r="E552" s="241"/>
      <c r="F552" s="241"/>
      <c r="G552" s="241"/>
    </row>
    <row r="553" spans="2:7" x14ac:dyDescent="0.2">
      <c r="B553" s="188"/>
      <c r="D553" s="241"/>
      <c r="E553" s="241"/>
      <c r="F553" s="241"/>
      <c r="G553" s="241"/>
    </row>
    <row r="554" spans="2:7" x14ac:dyDescent="0.2">
      <c r="B554" s="188"/>
      <c r="D554" s="241"/>
      <c r="E554" s="241"/>
      <c r="F554" s="241"/>
      <c r="G554" s="241"/>
    </row>
    <row r="555" spans="2:7" x14ac:dyDescent="0.2">
      <c r="B555" s="188"/>
      <c r="D555" s="241"/>
      <c r="E555" s="241"/>
      <c r="F555" s="241"/>
      <c r="G555" s="241"/>
    </row>
    <row r="556" spans="2:7" x14ac:dyDescent="0.2">
      <c r="B556" s="188"/>
      <c r="D556" s="241"/>
      <c r="E556" s="241"/>
      <c r="F556" s="241"/>
      <c r="G556" s="241"/>
    </row>
    <row r="557" spans="2:7" x14ac:dyDescent="0.2">
      <c r="B557" s="188"/>
      <c r="D557" s="241"/>
      <c r="E557" s="241"/>
      <c r="F557" s="241"/>
      <c r="G557" s="241"/>
    </row>
    <row r="558" spans="2:7" x14ac:dyDescent="0.2">
      <c r="B558" s="188"/>
      <c r="D558" s="241"/>
      <c r="E558" s="241"/>
      <c r="F558" s="241"/>
      <c r="G558" s="241"/>
    </row>
    <row r="559" spans="2:7" x14ac:dyDescent="0.2">
      <c r="B559" s="188"/>
      <c r="D559" s="241"/>
      <c r="E559" s="241"/>
      <c r="F559" s="241"/>
      <c r="G559" s="241"/>
    </row>
    <row r="560" spans="2:7" x14ac:dyDescent="0.2">
      <c r="B560" s="188"/>
      <c r="D560" s="241"/>
      <c r="E560" s="241"/>
      <c r="F560" s="241"/>
      <c r="G560" s="241"/>
    </row>
    <row r="561" spans="2:7" x14ac:dyDescent="0.2">
      <c r="B561" s="188"/>
      <c r="D561" s="241"/>
      <c r="E561" s="241"/>
      <c r="F561" s="241"/>
      <c r="G561" s="241"/>
    </row>
    <row r="562" spans="2:7" x14ac:dyDescent="0.2">
      <c r="B562" s="188"/>
      <c r="D562" s="241"/>
      <c r="E562" s="241"/>
      <c r="F562" s="241"/>
      <c r="G562" s="241"/>
    </row>
    <row r="563" spans="2:7" x14ac:dyDescent="0.2">
      <c r="B563" s="188"/>
      <c r="D563" s="241"/>
      <c r="E563" s="241"/>
      <c r="F563" s="241"/>
      <c r="G563" s="241"/>
    </row>
    <row r="564" spans="2:7" x14ac:dyDescent="0.2">
      <c r="B564" s="188"/>
      <c r="D564" s="241"/>
      <c r="E564" s="241"/>
      <c r="F564" s="241"/>
      <c r="G564" s="241"/>
    </row>
    <row r="565" spans="2:7" x14ac:dyDescent="0.2">
      <c r="B565" s="188"/>
      <c r="D565" s="241"/>
      <c r="E565" s="241"/>
      <c r="F565" s="241"/>
      <c r="G565" s="241"/>
    </row>
    <row r="566" spans="2:7" x14ac:dyDescent="0.2">
      <c r="B566" s="188"/>
      <c r="D566" s="241"/>
      <c r="E566" s="241"/>
      <c r="F566" s="241"/>
      <c r="G566" s="241"/>
    </row>
    <row r="567" spans="2:7" x14ac:dyDescent="0.2">
      <c r="B567" s="188"/>
      <c r="D567" s="241"/>
      <c r="E567" s="241"/>
      <c r="F567" s="241"/>
      <c r="G567" s="241"/>
    </row>
    <row r="568" spans="2:7" x14ac:dyDescent="0.2">
      <c r="B568" s="188"/>
      <c r="D568" s="241"/>
      <c r="E568" s="241"/>
      <c r="F568" s="241"/>
      <c r="G568" s="241"/>
    </row>
    <row r="569" spans="2:7" x14ac:dyDescent="0.2">
      <c r="B569" s="188"/>
      <c r="D569" s="241"/>
      <c r="E569" s="241"/>
      <c r="F569" s="241"/>
      <c r="G569" s="241"/>
    </row>
    <row r="570" spans="2:7" x14ac:dyDescent="0.2">
      <c r="B570" s="188"/>
      <c r="D570" s="241"/>
      <c r="E570" s="241"/>
      <c r="F570" s="241"/>
      <c r="G570" s="241"/>
    </row>
    <row r="571" spans="2:7" x14ac:dyDescent="0.2">
      <c r="B571" s="188"/>
      <c r="D571" s="241"/>
      <c r="E571" s="241"/>
      <c r="F571" s="241"/>
      <c r="G571" s="241"/>
    </row>
    <row r="572" spans="2:7" x14ac:dyDescent="0.2">
      <c r="B572" s="188"/>
      <c r="D572" s="241"/>
      <c r="E572" s="241"/>
      <c r="F572" s="241"/>
      <c r="G572" s="241"/>
    </row>
    <row r="573" spans="2:7" x14ac:dyDescent="0.2">
      <c r="B573" s="188"/>
      <c r="D573" s="241"/>
      <c r="E573" s="241"/>
      <c r="F573" s="241"/>
      <c r="G573" s="241"/>
    </row>
    <row r="574" spans="2:7" x14ac:dyDescent="0.2">
      <c r="B574" s="188"/>
      <c r="D574" s="241"/>
      <c r="E574" s="241"/>
      <c r="F574" s="241"/>
      <c r="G574" s="241"/>
    </row>
    <row r="575" spans="2:7" x14ac:dyDescent="0.2">
      <c r="B575" s="188"/>
      <c r="D575" s="241"/>
      <c r="E575" s="241"/>
      <c r="F575" s="241"/>
      <c r="G575" s="241"/>
    </row>
    <row r="576" spans="2:7" x14ac:dyDescent="0.2">
      <c r="B576" s="188"/>
      <c r="D576" s="241"/>
      <c r="E576" s="241"/>
      <c r="F576" s="241"/>
      <c r="G576" s="241"/>
    </row>
    <row r="577" spans="2:7" x14ac:dyDescent="0.2">
      <c r="B577" s="188"/>
      <c r="D577" s="241"/>
      <c r="E577" s="241"/>
      <c r="F577" s="241"/>
      <c r="G577" s="241"/>
    </row>
    <row r="578" spans="2:7" x14ac:dyDescent="0.2">
      <c r="B578" s="188"/>
      <c r="D578" s="241"/>
      <c r="E578" s="241"/>
      <c r="F578" s="241"/>
      <c r="G578" s="241"/>
    </row>
    <row r="579" spans="2:7" x14ac:dyDescent="0.2">
      <c r="B579" s="188"/>
      <c r="D579" s="241"/>
      <c r="E579" s="241"/>
      <c r="F579" s="241"/>
      <c r="G579" s="241"/>
    </row>
    <row r="580" spans="2:7" x14ac:dyDescent="0.2">
      <c r="B580" s="188"/>
      <c r="D580" s="241"/>
      <c r="E580" s="241"/>
      <c r="F580" s="241"/>
      <c r="G580" s="241"/>
    </row>
    <row r="581" spans="2:7" x14ac:dyDescent="0.2">
      <c r="B581" s="188"/>
      <c r="D581" s="241"/>
      <c r="E581" s="241"/>
      <c r="F581" s="241"/>
      <c r="G581" s="241"/>
    </row>
    <row r="582" spans="2:7" x14ac:dyDescent="0.2">
      <c r="B582" s="188"/>
      <c r="D582" s="241"/>
      <c r="E582" s="241"/>
      <c r="F582" s="241"/>
      <c r="G582" s="241"/>
    </row>
    <row r="583" spans="2:7" x14ac:dyDescent="0.2">
      <c r="B583" s="188"/>
      <c r="D583" s="241"/>
      <c r="E583" s="241"/>
      <c r="F583" s="241"/>
      <c r="G583" s="241"/>
    </row>
    <row r="584" spans="2:7" x14ac:dyDescent="0.2">
      <c r="B584" s="188"/>
      <c r="D584" s="241"/>
      <c r="E584" s="241"/>
      <c r="F584" s="241"/>
      <c r="G584" s="241"/>
    </row>
    <row r="585" spans="2:7" x14ac:dyDescent="0.2">
      <c r="B585" s="188"/>
      <c r="D585" s="241"/>
      <c r="E585" s="241"/>
      <c r="F585" s="241"/>
      <c r="G585" s="241"/>
    </row>
    <row r="586" spans="2:7" x14ac:dyDescent="0.2">
      <c r="B586" s="188"/>
      <c r="D586" s="241"/>
      <c r="E586" s="241"/>
      <c r="F586" s="241"/>
      <c r="G586" s="241"/>
    </row>
    <row r="587" spans="2:7" x14ac:dyDescent="0.2">
      <c r="B587" s="188"/>
      <c r="D587" s="241"/>
      <c r="E587" s="241"/>
      <c r="F587" s="241"/>
      <c r="G587" s="241"/>
    </row>
    <row r="588" spans="2:7" x14ac:dyDescent="0.2">
      <c r="B588" s="188"/>
      <c r="D588" s="241"/>
      <c r="E588" s="241"/>
      <c r="F588" s="241"/>
      <c r="G588" s="241"/>
    </row>
    <row r="589" spans="2:7" x14ac:dyDescent="0.2">
      <c r="B589" s="188"/>
      <c r="D589" s="241"/>
      <c r="E589" s="241"/>
      <c r="F589" s="241"/>
      <c r="G589" s="241"/>
    </row>
    <row r="590" spans="2:7" x14ac:dyDescent="0.2">
      <c r="B590" s="188"/>
      <c r="D590" s="241"/>
      <c r="E590" s="241"/>
      <c r="F590" s="241"/>
      <c r="G590" s="241"/>
    </row>
    <row r="591" spans="2:7" x14ac:dyDescent="0.2">
      <c r="B591" s="188"/>
      <c r="D591" s="241"/>
      <c r="E591" s="241"/>
      <c r="F591" s="241"/>
      <c r="G591" s="241"/>
    </row>
    <row r="592" spans="2:7" x14ac:dyDescent="0.2">
      <c r="B592" s="188"/>
      <c r="D592" s="241"/>
      <c r="E592" s="241"/>
      <c r="F592" s="241"/>
      <c r="G592" s="241"/>
    </row>
    <row r="593" spans="2:7" x14ac:dyDescent="0.2">
      <c r="B593" s="188"/>
      <c r="D593" s="241"/>
      <c r="E593" s="241"/>
      <c r="F593" s="241"/>
      <c r="G593" s="241"/>
    </row>
    <row r="594" spans="2:7" x14ac:dyDescent="0.2">
      <c r="B594" s="188"/>
      <c r="D594" s="241"/>
      <c r="E594" s="241"/>
      <c r="F594" s="241"/>
      <c r="G594" s="241"/>
    </row>
    <row r="595" spans="2:7" x14ac:dyDescent="0.2">
      <c r="B595" s="188"/>
      <c r="D595" s="241"/>
      <c r="E595" s="241"/>
      <c r="F595" s="241"/>
      <c r="G595" s="241"/>
    </row>
    <row r="596" spans="2:7" x14ac:dyDescent="0.2">
      <c r="B596" s="188"/>
      <c r="D596" s="241"/>
      <c r="E596" s="241"/>
      <c r="F596" s="241"/>
      <c r="G596" s="241"/>
    </row>
    <row r="597" spans="2:7" x14ac:dyDescent="0.2">
      <c r="B597" s="188"/>
      <c r="D597" s="241"/>
      <c r="E597" s="241"/>
      <c r="F597" s="241"/>
      <c r="G597" s="241"/>
    </row>
    <row r="598" spans="2:7" x14ac:dyDescent="0.2">
      <c r="B598" s="188"/>
      <c r="D598" s="241"/>
      <c r="E598" s="241"/>
      <c r="F598" s="241"/>
      <c r="G598" s="241"/>
    </row>
    <row r="599" spans="2:7" x14ac:dyDescent="0.2">
      <c r="B599" s="188"/>
      <c r="D599" s="241"/>
      <c r="E599" s="241"/>
      <c r="F599" s="241"/>
      <c r="G599" s="241"/>
    </row>
    <row r="600" spans="2:7" x14ac:dyDescent="0.2">
      <c r="B600" s="188"/>
      <c r="D600" s="241"/>
      <c r="E600" s="241"/>
      <c r="F600" s="241"/>
      <c r="G600" s="241"/>
    </row>
    <row r="601" spans="2:7" x14ac:dyDescent="0.2">
      <c r="B601" s="188"/>
      <c r="D601" s="241"/>
      <c r="E601" s="241"/>
      <c r="F601" s="241"/>
      <c r="G601" s="241"/>
    </row>
    <row r="602" spans="2:7" x14ac:dyDescent="0.2">
      <c r="B602" s="188"/>
      <c r="D602" s="241"/>
      <c r="E602" s="241"/>
      <c r="F602" s="241"/>
      <c r="G602" s="241"/>
    </row>
    <row r="603" spans="2:7" x14ac:dyDescent="0.2">
      <c r="B603" s="188"/>
      <c r="D603" s="241"/>
      <c r="E603" s="241"/>
      <c r="F603" s="241"/>
      <c r="G603" s="241"/>
    </row>
    <row r="604" spans="2:7" x14ac:dyDescent="0.2">
      <c r="B604" s="188"/>
      <c r="D604" s="241"/>
      <c r="E604" s="241"/>
      <c r="F604" s="241"/>
      <c r="G604" s="241"/>
    </row>
    <row r="605" spans="2:7" x14ac:dyDescent="0.2">
      <c r="B605" s="188"/>
      <c r="D605" s="241"/>
      <c r="E605" s="241"/>
      <c r="F605" s="241"/>
      <c r="G605" s="241"/>
    </row>
    <row r="606" spans="2:7" x14ac:dyDescent="0.2">
      <c r="B606" s="188"/>
      <c r="D606" s="241"/>
      <c r="E606" s="241"/>
      <c r="F606" s="241"/>
      <c r="G606" s="241"/>
    </row>
    <row r="607" spans="2:7" x14ac:dyDescent="0.2">
      <c r="B607" s="188"/>
      <c r="D607" s="241"/>
      <c r="E607" s="241"/>
      <c r="F607" s="241"/>
      <c r="G607" s="241"/>
    </row>
    <row r="608" spans="2:7" x14ac:dyDescent="0.2">
      <c r="B608" s="188"/>
      <c r="D608" s="241"/>
      <c r="E608" s="241"/>
      <c r="F608" s="241"/>
      <c r="G608" s="241"/>
    </row>
    <row r="609" spans="2:7" x14ac:dyDescent="0.2">
      <c r="B609" s="188"/>
      <c r="D609" s="241"/>
      <c r="E609" s="241"/>
      <c r="F609" s="241"/>
      <c r="G609" s="241"/>
    </row>
    <row r="610" spans="2:7" x14ac:dyDescent="0.2">
      <c r="B610" s="188"/>
      <c r="D610" s="241"/>
      <c r="E610" s="241"/>
      <c r="F610" s="241"/>
      <c r="G610" s="241"/>
    </row>
    <row r="611" spans="2:7" x14ac:dyDescent="0.2">
      <c r="B611" s="188"/>
      <c r="D611" s="241"/>
      <c r="E611" s="241"/>
      <c r="F611" s="241"/>
      <c r="G611" s="241"/>
    </row>
    <row r="612" spans="2:7" x14ac:dyDescent="0.2">
      <c r="B612" s="188"/>
      <c r="D612" s="241"/>
      <c r="E612" s="241"/>
      <c r="F612" s="241"/>
      <c r="G612" s="241"/>
    </row>
    <row r="613" spans="2:7" x14ac:dyDescent="0.2">
      <c r="B613" s="188"/>
      <c r="D613" s="241"/>
      <c r="E613" s="241"/>
      <c r="F613" s="241"/>
      <c r="G613" s="241"/>
    </row>
    <row r="614" spans="2:7" x14ac:dyDescent="0.2">
      <c r="B614" s="188"/>
      <c r="D614" s="241"/>
      <c r="E614" s="241"/>
      <c r="F614" s="241"/>
      <c r="G614" s="241"/>
    </row>
    <row r="615" spans="2:7" x14ac:dyDescent="0.2">
      <c r="B615" s="188"/>
      <c r="D615" s="241"/>
      <c r="E615" s="241"/>
      <c r="F615" s="241"/>
      <c r="G615" s="241"/>
    </row>
    <row r="616" spans="2:7" x14ac:dyDescent="0.2">
      <c r="B616" s="188"/>
      <c r="D616" s="241"/>
      <c r="E616" s="241"/>
      <c r="F616" s="241"/>
      <c r="G616" s="241"/>
    </row>
    <row r="617" spans="2:7" x14ac:dyDescent="0.2">
      <c r="B617" s="188"/>
      <c r="D617" s="241"/>
      <c r="E617" s="241"/>
      <c r="F617" s="241"/>
      <c r="G617" s="241"/>
    </row>
    <row r="618" spans="2:7" x14ac:dyDescent="0.2">
      <c r="B618" s="188"/>
      <c r="D618" s="241"/>
      <c r="E618" s="241"/>
      <c r="F618" s="241"/>
      <c r="G618" s="241"/>
    </row>
    <row r="619" spans="2:7" x14ac:dyDescent="0.2">
      <c r="B619" s="188"/>
      <c r="D619" s="241"/>
      <c r="E619" s="241"/>
      <c r="F619" s="241"/>
      <c r="G619" s="241"/>
    </row>
    <row r="620" spans="2:7" x14ac:dyDescent="0.2">
      <c r="B620" s="188"/>
      <c r="D620" s="241"/>
      <c r="E620" s="241"/>
      <c r="F620" s="241"/>
      <c r="G620" s="241"/>
    </row>
    <row r="621" spans="2:7" x14ac:dyDescent="0.2">
      <c r="B621" s="188"/>
      <c r="D621" s="241"/>
      <c r="E621" s="241"/>
      <c r="F621" s="241"/>
      <c r="G621" s="241"/>
    </row>
    <row r="622" spans="2:7" x14ac:dyDescent="0.2">
      <c r="B622" s="188"/>
      <c r="D622" s="241"/>
      <c r="E622" s="241"/>
      <c r="F622" s="241"/>
      <c r="G622" s="241"/>
    </row>
    <row r="623" spans="2:7" x14ac:dyDescent="0.2">
      <c r="B623" s="188"/>
      <c r="D623" s="241"/>
      <c r="E623" s="241"/>
      <c r="F623" s="241"/>
      <c r="G623" s="241"/>
    </row>
    <row r="624" spans="2:7" x14ac:dyDescent="0.2">
      <c r="B624" s="188"/>
      <c r="D624" s="241"/>
      <c r="E624" s="241"/>
      <c r="F624" s="241"/>
      <c r="G624" s="241"/>
    </row>
    <row r="625" spans="2:7" x14ac:dyDescent="0.2">
      <c r="B625" s="188"/>
      <c r="D625" s="241"/>
      <c r="E625" s="241"/>
      <c r="F625" s="241"/>
      <c r="G625" s="241"/>
    </row>
    <row r="626" spans="2:7" x14ac:dyDescent="0.2">
      <c r="B626" s="188"/>
      <c r="D626" s="241"/>
      <c r="E626" s="241"/>
      <c r="F626" s="241"/>
      <c r="G626" s="241"/>
    </row>
    <row r="627" spans="2:7" x14ac:dyDescent="0.2">
      <c r="B627" s="188"/>
      <c r="D627" s="241"/>
      <c r="E627" s="241"/>
      <c r="F627" s="241"/>
      <c r="G627" s="241"/>
    </row>
    <row r="628" spans="2:7" x14ac:dyDescent="0.2">
      <c r="B628" s="188"/>
      <c r="D628" s="241"/>
      <c r="E628" s="241"/>
      <c r="F628" s="241"/>
      <c r="G628" s="241"/>
    </row>
    <row r="629" spans="2:7" x14ac:dyDescent="0.2">
      <c r="B629" s="188"/>
      <c r="D629" s="241"/>
      <c r="E629" s="241"/>
      <c r="F629" s="241"/>
      <c r="G629" s="241"/>
    </row>
    <row r="630" spans="2:7" x14ac:dyDescent="0.2">
      <c r="B630" s="188"/>
      <c r="D630" s="241"/>
      <c r="E630" s="241"/>
      <c r="F630" s="241"/>
      <c r="G630" s="241"/>
    </row>
    <row r="631" spans="2:7" x14ac:dyDescent="0.2">
      <c r="B631" s="188"/>
      <c r="D631" s="241"/>
      <c r="E631" s="241"/>
      <c r="F631" s="241"/>
      <c r="G631" s="241"/>
    </row>
    <row r="632" spans="2:7" x14ac:dyDescent="0.2">
      <c r="B632" s="188"/>
      <c r="D632" s="241"/>
      <c r="E632" s="241"/>
      <c r="F632" s="241"/>
      <c r="G632" s="241"/>
    </row>
    <row r="633" spans="2:7" x14ac:dyDescent="0.2">
      <c r="B633" s="188"/>
      <c r="D633" s="241"/>
      <c r="E633" s="241"/>
      <c r="F633" s="241"/>
      <c r="G633" s="241"/>
    </row>
    <row r="634" spans="2:7" x14ac:dyDescent="0.2">
      <c r="B634" s="188"/>
      <c r="D634" s="241"/>
      <c r="E634" s="241"/>
      <c r="F634" s="241"/>
      <c r="G634" s="241"/>
    </row>
    <row r="635" spans="2:7" x14ac:dyDescent="0.2">
      <c r="B635" s="188"/>
      <c r="D635" s="241"/>
      <c r="E635" s="241"/>
      <c r="F635" s="241"/>
      <c r="G635" s="241"/>
    </row>
    <row r="636" spans="2:7" x14ac:dyDescent="0.2">
      <c r="B636" s="188"/>
      <c r="D636" s="241"/>
      <c r="E636" s="241"/>
      <c r="F636" s="241"/>
      <c r="G636" s="241"/>
    </row>
    <row r="637" spans="2:7" x14ac:dyDescent="0.2">
      <c r="B637" s="188"/>
      <c r="D637" s="241"/>
      <c r="E637" s="241"/>
      <c r="F637" s="241"/>
      <c r="G637" s="241"/>
    </row>
    <row r="638" spans="2:7" x14ac:dyDescent="0.2">
      <c r="B638" s="188"/>
      <c r="D638" s="241"/>
      <c r="E638" s="241"/>
      <c r="F638" s="241"/>
      <c r="G638" s="241"/>
    </row>
    <row r="639" spans="2:7" x14ac:dyDescent="0.2">
      <c r="B639" s="188"/>
      <c r="D639" s="241"/>
      <c r="E639" s="241"/>
      <c r="F639" s="241"/>
      <c r="G639" s="241"/>
    </row>
    <row r="640" spans="2:7" x14ac:dyDescent="0.2">
      <c r="B640" s="188"/>
      <c r="D640" s="241"/>
      <c r="E640" s="241"/>
      <c r="F640" s="241"/>
      <c r="G640" s="241"/>
    </row>
    <row r="641" spans="2:7" x14ac:dyDescent="0.2">
      <c r="B641" s="188"/>
      <c r="D641" s="241"/>
      <c r="E641" s="241"/>
      <c r="F641" s="241"/>
      <c r="G641" s="241"/>
    </row>
    <row r="642" spans="2:7" x14ac:dyDescent="0.2">
      <c r="B642" s="188"/>
      <c r="D642" s="241"/>
      <c r="E642" s="241"/>
      <c r="F642" s="241"/>
      <c r="G642" s="241"/>
    </row>
    <row r="643" spans="2:7" x14ac:dyDescent="0.2">
      <c r="B643" s="188"/>
      <c r="D643" s="241"/>
      <c r="E643" s="241"/>
      <c r="F643" s="241"/>
      <c r="G643" s="241"/>
    </row>
    <row r="644" spans="2:7" x14ac:dyDescent="0.2">
      <c r="B644" s="188"/>
      <c r="D644" s="241"/>
      <c r="E644" s="241"/>
      <c r="F644" s="241"/>
      <c r="G644" s="241"/>
    </row>
    <row r="645" spans="2:7" x14ac:dyDescent="0.2">
      <c r="B645" s="188"/>
      <c r="D645" s="241"/>
      <c r="E645" s="241"/>
      <c r="F645" s="241"/>
      <c r="G645" s="241"/>
    </row>
    <row r="646" spans="2:7" x14ac:dyDescent="0.2">
      <c r="B646" s="188"/>
      <c r="D646" s="241"/>
      <c r="E646" s="241"/>
      <c r="F646" s="241"/>
      <c r="G646" s="241"/>
    </row>
    <row r="647" spans="2:7" x14ac:dyDescent="0.2">
      <c r="B647" s="188"/>
      <c r="D647" s="241"/>
      <c r="E647" s="241"/>
      <c r="F647" s="241"/>
      <c r="G647" s="241"/>
    </row>
    <row r="648" spans="2:7" x14ac:dyDescent="0.2">
      <c r="B648" s="188"/>
      <c r="D648" s="241"/>
      <c r="E648" s="241"/>
      <c r="F648" s="241"/>
      <c r="G648" s="241"/>
    </row>
    <row r="649" spans="2:7" x14ac:dyDescent="0.2">
      <c r="B649" s="188"/>
      <c r="D649" s="241"/>
      <c r="E649" s="241"/>
      <c r="F649" s="241"/>
      <c r="G649" s="241"/>
    </row>
    <row r="650" spans="2:7" x14ac:dyDescent="0.2">
      <c r="B650" s="188"/>
      <c r="D650" s="241"/>
      <c r="E650" s="241"/>
      <c r="F650" s="241"/>
      <c r="G650" s="241"/>
    </row>
    <row r="651" spans="2:7" x14ac:dyDescent="0.2">
      <c r="B651" s="188"/>
      <c r="D651" s="241"/>
      <c r="E651" s="241"/>
      <c r="F651" s="241"/>
      <c r="G651" s="241"/>
    </row>
    <row r="652" spans="2:7" x14ac:dyDescent="0.2">
      <c r="B652" s="188"/>
      <c r="D652" s="241"/>
      <c r="E652" s="241"/>
      <c r="F652" s="241"/>
      <c r="G652" s="241"/>
    </row>
    <row r="653" spans="2:7" x14ac:dyDescent="0.2">
      <c r="B653" s="188"/>
      <c r="D653" s="241"/>
      <c r="E653" s="241"/>
      <c r="F653" s="241"/>
      <c r="G653" s="241"/>
    </row>
    <row r="654" spans="2:7" x14ac:dyDescent="0.2">
      <c r="B654" s="188"/>
      <c r="D654" s="241"/>
      <c r="E654" s="241"/>
      <c r="F654" s="241"/>
      <c r="G654" s="241"/>
    </row>
    <row r="655" spans="2:7" x14ac:dyDescent="0.2">
      <c r="B655" s="188"/>
      <c r="D655" s="241"/>
      <c r="E655" s="241"/>
      <c r="F655" s="241"/>
      <c r="G655" s="241"/>
    </row>
    <row r="656" spans="2:7" x14ac:dyDescent="0.2">
      <c r="B656" s="188"/>
      <c r="D656" s="241"/>
      <c r="E656" s="241"/>
      <c r="F656" s="241"/>
      <c r="G656" s="241"/>
    </row>
    <row r="657" spans="2:7" x14ac:dyDescent="0.2">
      <c r="B657" s="188"/>
      <c r="D657" s="241"/>
      <c r="E657" s="241"/>
      <c r="F657" s="241"/>
      <c r="G657" s="241"/>
    </row>
    <row r="658" spans="2:7" x14ac:dyDescent="0.2">
      <c r="B658" s="188"/>
      <c r="D658" s="241"/>
      <c r="E658" s="241"/>
      <c r="F658" s="241"/>
      <c r="G658" s="241"/>
    </row>
    <row r="659" spans="2:7" x14ac:dyDescent="0.2">
      <c r="B659" s="188"/>
      <c r="D659" s="241"/>
      <c r="E659" s="241"/>
      <c r="F659" s="241"/>
      <c r="G659" s="241"/>
    </row>
    <row r="660" spans="2:7" x14ac:dyDescent="0.2">
      <c r="B660" s="188"/>
      <c r="D660" s="241"/>
      <c r="E660" s="241"/>
      <c r="F660" s="241"/>
      <c r="G660" s="241"/>
    </row>
    <row r="661" spans="2:7" x14ac:dyDescent="0.2">
      <c r="B661" s="188"/>
      <c r="D661" s="241"/>
      <c r="E661" s="241"/>
      <c r="F661" s="241"/>
      <c r="G661" s="241"/>
    </row>
    <row r="662" spans="2:7" x14ac:dyDescent="0.2">
      <c r="B662" s="188"/>
      <c r="D662" s="241"/>
      <c r="E662" s="241"/>
      <c r="F662" s="241"/>
      <c r="G662" s="241"/>
    </row>
    <row r="663" spans="2:7" x14ac:dyDescent="0.2">
      <c r="B663" s="188"/>
      <c r="D663" s="241"/>
      <c r="E663" s="241"/>
      <c r="F663" s="241"/>
      <c r="G663" s="241"/>
    </row>
    <row r="664" spans="2:7" x14ac:dyDescent="0.2">
      <c r="B664" s="188"/>
      <c r="D664" s="241"/>
      <c r="E664" s="241"/>
      <c r="F664" s="241"/>
      <c r="G664" s="241"/>
    </row>
    <row r="665" spans="2:7" x14ac:dyDescent="0.2">
      <c r="B665" s="188"/>
      <c r="D665" s="241"/>
      <c r="E665" s="241"/>
      <c r="F665" s="241"/>
      <c r="G665" s="241"/>
    </row>
    <row r="666" spans="2:7" x14ac:dyDescent="0.2">
      <c r="B666" s="188"/>
      <c r="D666" s="241"/>
      <c r="E666" s="241"/>
      <c r="F666" s="241"/>
      <c r="G666" s="241"/>
    </row>
    <row r="667" spans="2:7" x14ac:dyDescent="0.2">
      <c r="B667" s="188"/>
      <c r="D667" s="241"/>
      <c r="E667" s="241"/>
      <c r="F667" s="241"/>
      <c r="G667" s="241"/>
    </row>
    <row r="668" spans="2:7" x14ac:dyDescent="0.2">
      <c r="B668" s="188"/>
      <c r="D668" s="241"/>
      <c r="E668" s="241"/>
      <c r="F668" s="241"/>
      <c r="G668" s="241"/>
    </row>
    <row r="669" spans="2:7" x14ac:dyDescent="0.2">
      <c r="B669" s="188"/>
      <c r="D669" s="241"/>
      <c r="E669" s="241"/>
      <c r="F669" s="241"/>
      <c r="G669" s="241"/>
    </row>
    <row r="670" spans="2:7" x14ac:dyDescent="0.2">
      <c r="B670" s="188"/>
      <c r="D670" s="241"/>
      <c r="E670" s="241"/>
      <c r="F670" s="241"/>
      <c r="G670" s="241"/>
    </row>
    <row r="671" spans="2:7" x14ac:dyDescent="0.2">
      <c r="B671" s="188"/>
      <c r="D671" s="241"/>
      <c r="E671" s="241"/>
      <c r="F671" s="241"/>
      <c r="G671" s="241"/>
    </row>
    <row r="672" spans="2:7" x14ac:dyDescent="0.2">
      <c r="B672" s="188"/>
      <c r="D672" s="241"/>
      <c r="E672" s="241"/>
      <c r="F672" s="241"/>
      <c r="G672" s="241"/>
    </row>
    <row r="673" spans="2:7" x14ac:dyDescent="0.2">
      <c r="B673" s="188"/>
      <c r="D673" s="241"/>
      <c r="E673" s="241"/>
      <c r="F673" s="241"/>
      <c r="G673" s="241"/>
    </row>
    <row r="674" spans="2:7" x14ac:dyDescent="0.2">
      <c r="B674" s="188"/>
      <c r="D674" s="241"/>
      <c r="E674" s="241"/>
      <c r="F674" s="241"/>
      <c r="G674" s="241"/>
    </row>
    <row r="675" spans="2:7" x14ac:dyDescent="0.2">
      <c r="B675" s="188"/>
      <c r="D675" s="241"/>
      <c r="E675" s="241"/>
      <c r="F675" s="241"/>
      <c r="G675" s="241"/>
    </row>
    <row r="676" spans="2:7" x14ac:dyDescent="0.2">
      <c r="B676" s="188"/>
      <c r="D676" s="241"/>
      <c r="E676" s="241"/>
      <c r="F676" s="241"/>
      <c r="G676" s="241"/>
    </row>
    <row r="677" spans="2:7" x14ac:dyDescent="0.2">
      <c r="B677" s="188"/>
      <c r="D677" s="241"/>
      <c r="E677" s="241"/>
      <c r="F677" s="241"/>
      <c r="G677" s="241"/>
    </row>
    <row r="678" spans="2:7" x14ac:dyDescent="0.2">
      <c r="B678" s="188"/>
      <c r="D678" s="241"/>
      <c r="E678" s="241"/>
      <c r="F678" s="241"/>
      <c r="G678" s="241"/>
    </row>
    <row r="679" spans="2:7" x14ac:dyDescent="0.2">
      <c r="B679" s="188"/>
      <c r="D679" s="241"/>
      <c r="E679" s="241"/>
      <c r="F679" s="241"/>
      <c r="G679" s="241"/>
    </row>
    <row r="680" spans="2:7" x14ac:dyDescent="0.2">
      <c r="B680" s="188"/>
      <c r="D680" s="241"/>
      <c r="E680" s="241"/>
      <c r="F680" s="241"/>
      <c r="G680" s="241"/>
    </row>
    <row r="681" spans="2:7" x14ac:dyDescent="0.2">
      <c r="B681" s="188"/>
      <c r="D681" s="241"/>
      <c r="E681" s="241"/>
      <c r="F681" s="241"/>
      <c r="G681" s="241"/>
    </row>
    <row r="682" spans="2:7" x14ac:dyDescent="0.2">
      <c r="B682" s="188"/>
      <c r="D682" s="241"/>
      <c r="E682" s="241"/>
      <c r="F682" s="241"/>
      <c r="G682" s="241"/>
    </row>
    <row r="683" spans="2:7" x14ac:dyDescent="0.2">
      <c r="B683" s="188"/>
      <c r="D683" s="241"/>
      <c r="E683" s="241"/>
      <c r="F683" s="241"/>
      <c r="G683" s="241"/>
    </row>
  </sheetData>
  <mergeCells count="5">
    <mergeCell ref="A77:G78"/>
    <mergeCell ref="A4:G4"/>
    <mergeCell ref="A1:G1"/>
    <mergeCell ref="A2:G2"/>
    <mergeCell ref="A5:G5"/>
  </mergeCells>
  <phoneticPr fontId="7" type="noConversion"/>
  <printOptions horizontalCentered="1"/>
  <pageMargins left="0.78" right="0.23622047244094491" top="0.23622047244094491" bottom="0" header="0.51181102362204722" footer="0.5118110236220472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35"/>
  <sheetViews>
    <sheetView zoomScaleNormal="100" workbookViewId="0">
      <pane xSplit="1" ySplit="7" topLeftCell="N105" activePane="bottomRight" state="frozen"/>
      <selection sqref="A1:AP1"/>
      <selection pane="topRight" sqref="A1:AP1"/>
      <selection pane="bottomLeft" sqref="A1:AP1"/>
      <selection pane="bottomRight" sqref="A1:AP1"/>
    </sheetView>
  </sheetViews>
  <sheetFormatPr defaultRowHeight="11.25" outlineLevelRow="1" outlineLevelCol="1" x14ac:dyDescent="0.2"/>
  <cols>
    <col min="1" max="1" width="30.140625" style="30" customWidth="1"/>
    <col min="2" max="2" width="11.28515625" style="31" customWidth="1" outlineLevel="1"/>
    <col min="3" max="3" width="10.7109375" style="31" customWidth="1" outlineLevel="1"/>
    <col min="4" max="4" width="10.42578125" style="31" customWidth="1" outlineLevel="1"/>
    <col min="5" max="5" width="10.140625" style="31" customWidth="1" outlineLevel="1"/>
    <col min="6" max="6" width="10.7109375" style="31" customWidth="1" outlineLevel="1"/>
    <col min="7" max="8" width="10.42578125" style="31" customWidth="1" outlineLevel="1"/>
    <col min="9" max="9" width="7.7109375" style="31" customWidth="1" outlineLevel="1"/>
    <col min="10" max="10" width="9.5703125" style="31" customWidth="1" outlineLevel="1"/>
    <col min="11" max="11" width="10.42578125" style="31" customWidth="1" outlineLevel="1"/>
    <col min="12" max="12" width="7.42578125" style="31" customWidth="1" outlineLevel="1"/>
    <col min="13" max="13" width="9.5703125" style="31" customWidth="1" outlineLevel="1"/>
    <col min="14" max="14" width="9" style="31" customWidth="1" outlineLevel="1"/>
    <col min="15" max="15" width="9.42578125" style="31" customWidth="1" outlineLevel="1"/>
    <col min="16" max="16" width="11.28515625" style="31" bestFit="1" customWidth="1"/>
    <col min="17" max="17" width="8.85546875" style="54" customWidth="1"/>
    <col min="18" max="19" width="12" style="52" customWidth="1"/>
    <col min="20" max="20" width="11.28515625" style="31" customWidth="1"/>
    <col min="21" max="21" width="10.42578125" style="30" customWidth="1"/>
    <col min="22" max="22" width="7.7109375" style="31" customWidth="1"/>
    <col min="23" max="23" width="10.5703125" style="30" customWidth="1"/>
    <col min="24" max="27" width="10.7109375" style="30" customWidth="1"/>
    <col min="28" max="29" width="11.28515625" style="30" customWidth="1"/>
    <col min="30" max="31" width="9.140625" style="30" customWidth="1"/>
    <col min="32" max="16384" width="9.140625" style="30"/>
  </cols>
  <sheetData>
    <row r="1" spans="1:27" x14ac:dyDescent="0.2">
      <c r="A1" s="620" t="s">
        <v>2</v>
      </c>
      <c r="B1" s="620"/>
      <c r="C1" s="620"/>
      <c r="D1" s="620"/>
      <c r="E1" s="620"/>
      <c r="F1" s="620"/>
      <c r="G1" s="620"/>
      <c r="H1" s="620"/>
      <c r="I1" s="620"/>
      <c r="J1" s="620"/>
      <c r="K1" s="620"/>
      <c r="L1" s="620"/>
      <c r="M1" s="620"/>
      <c r="N1" s="620"/>
      <c r="O1" s="620"/>
      <c r="P1" s="620"/>
      <c r="Q1" s="620"/>
      <c r="R1" s="620"/>
      <c r="S1" s="620"/>
      <c r="T1" s="620"/>
      <c r="X1" s="51"/>
    </row>
    <row r="2" spans="1:27" x14ac:dyDescent="0.2">
      <c r="A2" s="621" t="s">
        <v>1310</v>
      </c>
      <c r="B2" s="620"/>
      <c r="C2" s="620"/>
      <c r="D2" s="620"/>
      <c r="E2" s="620"/>
      <c r="F2" s="620"/>
      <c r="G2" s="620"/>
      <c r="H2" s="620"/>
      <c r="I2" s="620"/>
      <c r="J2" s="620"/>
      <c r="K2" s="620"/>
      <c r="L2" s="620"/>
      <c r="M2" s="620"/>
      <c r="N2" s="620"/>
      <c r="O2" s="620"/>
      <c r="P2" s="620"/>
      <c r="Q2" s="620"/>
      <c r="R2" s="620"/>
      <c r="S2" s="620"/>
      <c r="T2" s="620"/>
      <c r="U2" s="51"/>
      <c r="V2" s="31">
        <f>V134-V296</f>
        <v>0</v>
      </c>
    </row>
    <row r="3" spans="1:27" x14ac:dyDescent="0.2">
      <c r="B3" s="54" t="s">
        <v>510</v>
      </c>
      <c r="C3" s="54" t="s">
        <v>510</v>
      </c>
      <c r="D3" s="54" t="s">
        <v>510</v>
      </c>
      <c r="E3" s="109"/>
      <c r="F3" s="54" t="s">
        <v>510</v>
      </c>
      <c r="G3" s="54" t="s">
        <v>510</v>
      </c>
      <c r="H3" s="54" t="s">
        <v>510</v>
      </c>
      <c r="I3" s="54" t="s">
        <v>510</v>
      </c>
      <c r="J3" s="54" t="s">
        <v>510</v>
      </c>
      <c r="K3" s="54" t="s">
        <v>510</v>
      </c>
      <c r="L3" s="54" t="s">
        <v>510</v>
      </c>
      <c r="M3" s="54" t="s">
        <v>510</v>
      </c>
      <c r="N3" s="54" t="s">
        <v>510</v>
      </c>
      <c r="O3" s="54" t="s">
        <v>510</v>
      </c>
      <c r="P3" s="32" t="s">
        <v>1</v>
      </c>
      <c r="R3" s="191">
        <f>R298</f>
        <v>0</v>
      </c>
      <c r="S3" s="54"/>
      <c r="T3" s="251">
        <f>T134-T296</f>
        <v>0</v>
      </c>
      <c r="U3" s="51"/>
      <c r="V3" s="32" t="s">
        <v>1</v>
      </c>
    </row>
    <row r="4" spans="1:27" x14ac:dyDescent="0.2">
      <c r="B4" s="54"/>
      <c r="C4" s="54"/>
      <c r="D4" s="54"/>
      <c r="E4" s="54" t="s">
        <v>861</v>
      </c>
      <c r="F4" s="54"/>
      <c r="G4" s="54"/>
      <c r="H4" s="54"/>
      <c r="I4" s="54"/>
      <c r="J4" s="54"/>
      <c r="K4" s="54"/>
      <c r="L4" s="54" t="s">
        <v>153</v>
      </c>
      <c r="M4" s="81" t="s">
        <v>61</v>
      </c>
      <c r="N4" s="68"/>
      <c r="O4" s="54" t="s">
        <v>148</v>
      </c>
      <c r="P4" s="255">
        <f>P297</f>
        <v>0</v>
      </c>
      <c r="R4" s="622" t="s">
        <v>26</v>
      </c>
      <c r="S4" s="622"/>
      <c r="T4" s="32"/>
    </row>
    <row r="5" spans="1:27" s="29" customFormat="1" x14ac:dyDescent="0.2">
      <c r="B5" s="54" t="s">
        <v>144</v>
      </c>
      <c r="C5" s="91" t="s">
        <v>346</v>
      </c>
      <c r="D5" s="69" t="s">
        <v>145</v>
      </c>
      <c r="E5" s="69" t="s">
        <v>146</v>
      </c>
      <c r="F5" s="69" t="s">
        <v>147</v>
      </c>
      <c r="G5" s="40" t="s">
        <v>148</v>
      </c>
      <c r="H5" s="40" t="s">
        <v>149</v>
      </c>
      <c r="I5" s="40" t="s">
        <v>150</v>
      </c>
      <c r="J5" s="40" t="s">
        <v>151</v>
      </c>
      <c r="K5" s="104" t="s">
        <v>152</v>
      </c>
      <c r="L5" s="54" t="s">
        <v>154</v>
      </c>
      <c r="M5" s="81" t="s">
        <v>155</v>
      </c>
      <c r="N5" s="54" t="s">
        <v>156</v>
      </c>
      <c r="O5" s="54" t="s">
        <v>157</v>
      </c>
      <c r="P5" s="32" t="s">
        <v>24</v>
      </c>
      <c r="Q5" s="54"/>
      <c r="R5" s="68" t="s">
        <v>158</v>
      </c>
      <c r="S5" s="54" t="s">
        <v>159</v>
      </c>
      <c r="T5" s="32" t="s">
        <v>24</v>
      </c>
      <c r="V5" s="32"/>
      <c r="X5" s="71" t="s">
        <v>344</v>
      </c>
      <c r="Y5" s="72" t="s">
        <v>311</v>
      </c>
      <c r="Z5" s="90" t="s">
        <v>406</v>
      </c>
      <c r="AA5" s="68" t="s">
        <v>62</v>
      </c>
    </row>
    <row r="6" spans="1:27" s="29" customFormat="1" x14ac:dyDescent="0.2">
      <c r="A6" s="33" t="s">
        <v>33</v>
      </c>
      <c r="B6" s="32"/>
      <c r="C6" s="32"/>
      <c r="D6" s="32"/>
      <c r="E6" s="32"/>
      <c r="F6" s="32"/>
      <c r="G6" s="32"/>
      <c r="H6" s="32"/>
      <c r="I6" s="32"/>
      <c r="J6" s="32"/>
      <c r="K6" s="54"/>
      <c r="L6" s="32"/>
      <c r="M6" s="54"/>
      <c r="N6" s="32"/>
      <c r="O6" s="32"/>
      <c r="P6" s="32"/>
      <c r="Q6" s="54"/>
      <c r="R6" s="54"/>
      <c r="S6" s="54"/>
      <c r="T6" s="32"/>
      <c r="V6" s="32"/>
    </row>
    <row r="7" spans="1:27" x14ac:dyDescent="0.2">
      <c r="A7" s="33" t="s">
        <v>42</v>
      </c>
      <c r="B7" s="52"/>
      <c r="C7" s="52"/>
      <c r="D7" s="52"/>
      <c r="E7" s="109"/>
      <c r="F7" s="52"/>
      <c r="G7" s="52"/>
      <c r="H7" s="52"/>
      <c r="I7" s="52"/>
      <c r="J7" s="52"/>
      <c r="K7" s="52"/>
      <c r="L7" s="52"/>
      <c r="M7" s="52"/>
      <c r="N7" s="52"/>
      <c r="O7" s="52"/>
      <c r="Q7" s="400"/>
      <c r="R7" s="401"/>
      <c r="S7" s="401"/>
    </row>
    <row r="8" spans="1:27" x14ac:dyDescent="0.2">
      <c r="A8" s="30" t="s">
        <v>8</v>
      </c>
      <c r="B8" s="52">
        <f>608293</f>
        <v>608293</v>
      </c>
      <c r="C8" s="52">
        <f>451925</f>
        <v>451925</v>
      </c>
      <c r="D8" s="52">
        <f>17350888-17350888</f>
        <v>0</v>
      </c>
      <c r="E8" s="109">
        <v>0</v>
      </c>
      <c r="F8" s="52">
        <f>839253-F19</f>
        <v>2689</v>
      </c>
      <c r="G8" s="52">
        <f>15244765-13915566-78662</f>
        <v>1250537</v>
      </c>
      <c r="H8" s="52">
        <f>4335036-2395107</f>
        <v>1939929</v>
      </c>
      <c r="I8" s="52">
        <v>0</v>
      </c>
      <c r="J8" s="52">
        <f>0</f>
        <v>0</v>
      </c>
      <c r="K8" s="52">
        <f>(25267686-70580-70580)-70581-70580-70580-70580-(70580+70580+70580+70580)-(70580+70581+70580+70580)-(70580+70580+70580+70580)-(70580)</f>
        <v>23926664</v>
      </c>
      <c r="L8" s="52">
        <v>0</v>
      </c>
      <c r="M8" s="52">
        <f>2293247-1563613</f>
        <v>729634</v>
      </c>
      <c r="N8" s="52">
        <v>0</v>
      </c>
      <c r="O8" s="52">
        <v>0</v>
      </c>
      <c r="P8" s="31">
        <f>SUM(B8:O8)</f>
        <v>28909671</v>
      </c>
      <c r="Q8" s="396">
        <v>6</v>
      </c>
      <c r="R8" s="57">
        <f>'Consol 2017 Adj'!$D$80</f>
        <v>131274</v>
      </c>
      <c r="S8" s="57"/>
      <c r="T8" s="52">
        <f>P8+R8+R9+R10+R11+R12-S12-S11-S10-S9-S8+R14-S14+R13-S13+R15-S15+R16-S16+R17-S17+R18-S18</f>
        <v>59731653</v>
      </c>
      <c r="V8" s="31">
        <v>59732</v>
      </c>
    </row>
    <row r="9" spans="1:27" hidden="1" outlineLevel="1" x14ac:dyDescent="0.2">
      <c r="B9" s="52"/>
      <c r="C9" s="52"/>
      <c r="D9" s="52"/>
      <c r="E9" s="109"/>
      <c r="F9" s="52"/>
      <c r="G9" s="52"/>
      <c r="H9" s="52"/>
      <c r="I9" s="52"/>
      <c r="J9" s="52"/>
      <c r="K9" s="52"/>
      <c r="L9" s="52"/>
      <c r="M9" s="52"/>
      <c r="N9" s="52"/>
      <c r="O9" s="52"/>
      <c r="Q9" s="396" t="s">
        <v>1252</v>
      </c>
      <c r="R9" s="57"/>
      <c r="S9" s="57">
        <f>'Consol 2017 Adj'!$E$90</f>
        <v>131274</v>
      </c>
      <c r="T9" s="52"/>
    </row>
    <row r="10" spans="1:27" hidden="1" outlineLevel="1" x14ac:dyDescent="0.2">
      <c r="B10" s="52"/>
      <c r="C10" s="52"/>
      <c r="D10" s="52"/>
      <c r="E10" s="109"/>
      <c r="F10" s="52"/>
      <c r="G10" s="52"/>
      <c r="H10" s="52"/>
      <c r="I10" s="52"/>
      <c r="J10" s="52"/>
      <c r="K10" s="52"/>
      <c r="L10" s="52"/>
      <c r="M10" s="52"/>
      <c r="N10" s="52"/>
      <c r="O10" s="52"/>
      <c r="Q10" s="396">
        <v>7</v>
      </c>
      <c r="R10" s="57">
        <f>'Consol 2017 Adj'!$D$95</f>
        <v>2914087</v>
      </c>
      <c r="S10" s="57"/>
      <c r="T10" s="52"/>
    </row>
    <row r="11" spans="1:27" hidden="1" outlineLevel="1" x14ac:dyDescent="0.2">
      <c r="B11" s="52"/>
      <c r="C11" s="52"/>
      <c r="D11" s="52"/>
      <c r="E11" s="109"/>
      <c r="F11" s="52"/>
      <c r="G11" s="52"/>
      <c r="H11" s="52"/>
      <c r="I11" s="52"/>
      <c r="J11" s="52"/>
      <c r="K11" s="52"/>
      <c r="L11" s="52"/>
      <c r="M11" s="52"/>
      <c r="N11" s="52"/>
      <c r="O11" s="52"/>
      <c r="Q11" s="396" t="s">
        <v>1256</v>
      </c>
      <c r="R11" s="57">
        <f>'Consol 2017 Adj'!$D$101</f>
        <v>28088669</v>
      </c>
      <c r="S11" s="57"/>
      <c r="T11" s="52"/>
    </row>
    <row r="12" spans="1:27" hidden="1" outlineLevel="1" x14ac:dyDescent="0.2">
      <c r="B12" s="52"/>
      <c r="C12" s="52"/>
      <c r="D12" s="52"/>
      <c r="E12" s="109"/>
      <c r="F12" s="52"/>
      <c r="G12" s="52"/>
      <c r="H12" s="52"/>
      <c r="I12" s="52"/>
      <c r="J12" s="52"/>
      <c r="K12" s="52"/>
      <c r="L12" s="52"/>
      <c r="M12" s="52"/>
      <c r="N12" s="52"/>
      <c r="O12" s="52"/>
      <c r="Q12" s="396" t="s">
        <v>1260</v>
      </c>
      <c r="R12" s="57"/>
      <c r="S12" s="57">
        <f>'Consol 2017 Adj'!$E$110</f>
        <v>90387</v>
      </c>
      <c r="T12" s="52"/>
    </row>
    <row r="13" spans="1:27" hidden="1" outlineLevel="1" x14ac:dyDescent="0.2">
      <c r="B13" s="52"/>
      <c r="C13" s="52"/>
      <c r="D13" s="52"/>
      <c r="E13" s="109"/>
      <c r="F13" s="52"/>
      <c r="G13" s="52"/>
      <c r="H13" s="52"/>
      <c r="I13" s="52"/>
      <c r="J13" s="52"/>
      <c r="K13" s="52"/>
      <c r="L13" s="52"/>
      <c r="M13" s="52"/>
      <c r="N13" s="52"/>
      <c r="O13" s="52"/>
      <c r="Q13" s="396">
        <v>8</v>
      </c>
      <c r="R13" s="57">
        <f>'Consol 2017 Adj'!$D$122</f>
        <v>3737805</v>
      </c>
      <c r="S13" s="57"/>
      <c r="T13" s="52"/>
    </row>
    <row r="14" spans="1:27" hidden="1" outlineLevel="1" x14ac:dyDescent="0.2">
      <c r="B14" s="52"/>
      <c r="C14" s="52"/>
      <c r="D14" s="52"/>
      <c r="E14" s="109"/>
      <c r="F14" s="52"/>
      <c r="G14" s="52"/>
      <c r="H14" s="52"/>
      <c r="I14" s="52"/>
      <c r="J14" s="52"/>
      <c r="K14" s="52"/>
      <c r="L14" s="52"/>
      <c r="M14" s="52"/>
      <c r="N14" s="52"/>
      <c r="O14" s="52"/>
      <c r="Q14" s="396" t="s">
        <v>1270</v>
      </c>
      <c r="R14" s="57"/>
      <c r="S14" s="57">
        <f>'Consol 2017 Adj'!$E$132</f>
        <v>3737805</v>
      </c>
      <c r="T14" s="52"/>
      <c r="W14" s="51">
        <f>R14+R15-S16</f>
        <v>0</v>
      </c>
    </row>
    <row r="15" spans="1:27" hidden="1" outlineLevel="1" x14ac:dyDescent="0.2">
      <c r="B15" s="52"/>
      <c r="C15" s="52"/>
      <c r="D15" s="52"/>
      <c r="E15" s="109"/>
      <c r="F15" s="52"/>
      <c r="G15" s="52"/>
      <c r="H15" s="52"/>
      <c r="I15" s="52"/>
      <c r="J15" s="52"/>
      <c r="K15" s="52"/>
      <c r="L15" s="52"/>
      <c r="M15" s="52"/>
      <c r="N15" s="52"/>
      <c r="O15" s="52"/>
      <c r="Q15" s="400" t="s">
        <v>1331</v>
      </c>
      <c r="R15" s="401"/>
      <c r="S15" s="401">
        <f>'Conso C adjs'!$G$54</f>
        <v>90387</v>
      </c>
      <c r="T15" s="52"/>
    </row>
    <row r="16" spans="1:27" hidden="1" outlineLevel="1" x14ac:dyDescent="0.2">
      <c r="B16" s="52"/>
      <c r="C16" s="52"/>
      <c r="D16" s="52"/>
      <c r="E16" s="109"/>
      <c r="F16" s="52"/>
      <c r="G16" s="52"/>
      <c r="H16" s="52"/>
      <c r="I16" s="52"/>
      <c r="J16" s="52"/>
      <c r="K16" s="52"/>
      <c r="L16" s="52"/>
      <c r="M16" s="52"/>
      <c r="N16" s="52"/>
      <c r="O16" s="52"/>
      <c r="Q16" s="400"/>
      <c r="R16" s="401"/>
      <c r="S16" s="401"/>
      <c r="T16" s="52"/>
    </row>
    <row r="17" spans="1:22" hidden="1" outlineLevel="1" x14ac:dyDescent="0.2">
      <c r="B17" s="52"/>
      <c r="C17" s="52"/>
      <c r="D17" s="52"/>
      <c r="E17" s="109"/>
      <c r="F17" s="52"/>
      <c r="G17" s="52"/>
      <c r="H17" s="52"/>
      <c r="I17" s="52"/>
      <c r="J17" s="52"/>
      <c r="K17" s="52"/>
      <c r="L17" s="52"/>
      <c r="M17" s="52"/>
      <c r="N17" s="52"/>
      <c r="O17" s="52"/>
      <c r="Q17" s="400"/>
      <c r="R17" s="401"/>
      <c r="S17" s="401"/>
      <c r="T17" s="52"/>
    </row>
    <row r="18" spans="1:22" hidden="1" outlineLevel="1" x14ac:dyDescent="0.2">
      <c r="B18" s="52"/>
      <c r="C18" s="52"/>
      <c r="D18" s="52"/>
      <c r="E18" s="109"/>
      <c r="F18" s="52"/>
      <c r="G18" s="52"/>
      <c r="H18" s="52"/>
      <c r="I18" s="52"/>
      <c r="J18" s="52"/>
      <c r="K18" s="52"/>
      <c r="L18" s="52"/>
      <c r="M18" s="52"/>
      <c r="N18" s="52"/>
      <c r="O18" s="52"/>
      <c r="Q18" s="400"/>
      <c r="R18" s="401"/>
      <c r="S18" s="401"/>
      <c r="T18" s="52"/>
    </row>
    <row r="19" spans="1:22" collapsed="1" x14ac:dyDescent="0.2">
      <c r="A19" s="34" t="s">
        <v>34</v>
      </c>
      <c r="B19" s="52">
        <v>0</v>
      </c>
      <c r="C19" s="52">
        <v>0</v>
      </c>
      <c r="D19" s="52">
        <f>3688862-155179-11084</f>
        <v>3522599</v>
      </c>
      <c r="E19" s="109">
        <v>0</v>
      </c>
      <c r="F19" s="52">
        <f>463125+463125+243750-152602-152602-28232</f>
        <v>836564</v>
      </c>
      <c r="G19" s="52">
        <v>0</v>
      </c>
      <c r="H19" s="52">
        <v>0</v>
      </c>
      <c r="I19" s="52">
        <v>0</v>
      </c>
      <c r="J19" s="52">
        <v>0</v>
      </c>
      <c r="K19" s="52">
        <v>0</v>
      </c>
      <c r="L19" s="52">
        <v>0</v>
      </c>
      <c r="M19" s="52">
        <v>0</v>
      </c>
      <c r="N19" s="52">
        <v>0</v>
      </c>
      <c r="O19" s="52">
        <v>0</v>
      </c>
      <c r="P19" s="31">
        <f>SUM(B19:O19)</f>
        <v>4359163</v>
      </c>
      <c r="Q19" s="396">
        <v>6</v>
      </c>
      <c r="R19" s="57">
        <f>'Consol 2017 Adj'!$D$81</f>
        <v>251652</v>
      </c>
      <c r="S19" s="57"/>
      <c r="T19" s="52">
        <f>P19+R19+R20+R21+R22-S22-S21-S20-S19+R23-S23+R24-S24</f>
        <v>4742089</v>
      </c>
      <c r="V19" s="31">
        <v>4742</v>
      </c>
    </row>
    <row r="20" spans="1:22" hidden="1" outlineLevel="1" x14ac:dyDescent="0.2">
      <c r="A20" s="34"/>
      <c r="B20" s="52"/>
      <c r="C20" s="52"/>
      <c r="D20" s="52"/>
      <c r="E20" s="109"/>
      <c r="F20" s="52"/>
      <c r="G20" s="52"/>
      <c r="H20" s="52"/>
      <c r="I20" s="52"/>
      <c r="J20" s="52"/>
      <c r="K20" s="52"/>
      <c r="L20" s="52"/>
      <c r="M20" s="52"/>
      <c r="N20" s="52"/>
      <c r="O20" s="52"/>
      <c r="Q20" s="396" t="s">
        <v>1252</v>
      </c>
      <c r="R20" s="57">
        <f>'Consol 2017 Adj'!$D$88</f>
        <v>131274</v>
      </c>
      <c r="S20" s="57"/>
      <c r="T20" s="52"/>
    </row>
    <row r="21" spans="1:22" hidden="1" outlineLevel="1" x14ac:dyDescent="0.2">
      <c r="A21" s="34"/>
      <c r="B21" s="52"/>
      <c r="C21" s="52"/>
      <c r="D21" s="52"/>
      <c r="E21" s="109"/>
      <c r="F21" s="52"/>
      <c r="G21" s="52"/>
      <c r="H21" s="52"/>
      <c r="I21" s="52"/>
      <c r="J21" s="52"/>
      <c r="K21" s="52"/>
      <c r="L21" s="52"/>
      <c r="M21" s="52"/>
      <c r="N21" s="52"/>
      <c r="O21" s="52"/>
      <c r="Q21" s="400"/>
      <c r="R21" s="401"/>
      <c r="S21" s="401"/>
      <c r="T21" s="52"/>
    </row>
    <row r="22" spans="1:22" hidden="1" outlineLevel="1" x14ac:dyDescent="0.2">
      <c r="A22" s="34"/>
      <c r="B22" s="52"/>
      <c r="C22" s="52"/>
      <c r="D22" s="52"/>
      <c r="E22" s="109"/>
      <c r="F22" s="52"/>
      <c r="G22" s="52"/>
      <c r="H22" s="52"/>
      <c r="I22" s="52"/>
      <c r="J22" s="52"/>
      <c r="K22" s="52"/>
      <c r="L22" s="52"/>
      <c r="M22" s="52"/>
      <c r="N22" s="52"/>
      <c r="O22" s="52"/>
      <c r="Q22" s="400"/>
      <c r="R22" s="401"/>
      <c r="S22" s="401"/>
      <c r="T22" s="52"/>
    </row>
    <row r="23" spans="1:22" hidden="1" outlineLevel="1" x14ac:dyDescent="0.2">
      <c r="A23" s="34"/>
      <c r="B23" s="52"/>
      <c r="C23" s="52"/>
      <c r="D23" s="52"/>
      <c r="E23" s="109"/>
      <c r="F23" s="52"/>
      <c r="G23" s="52"/>
      <c r="H23" s="52"/>
      <c r="I23" s="52"/>
      <c r="J23" s="52"/>
      <c r="K23" s="52"/>
      <c r="L23" s="52"/>
      <c r="M23" s="52"/>
      <c r="N23" s="52"/>
      <c r="O23" s="52"/>
      <c r="Q23" s="400"/>
      <c r="R23" s="401"/>
      <c r="S23" s="401"/>
      <c r="T23" s="52"/>
    </row>
    <row r="24" spans="1:22" hidden="1" outlineLevel="1" x14ac:dyDescent="0.2">
      <c r="A24" s="34"/>
      <c r="B24" s="52"/>
      <c r="C24" s="52"/>
      <c r="D24" s="52"/>
      <c r="E24" s="109"/>
      <c r="F24" s="52"/>
      <c r="G24" s="52"/>
      <c r="H24" s="52"/>
      <c r="I24" s="52"/>
      <c r="J24" s="52"/>
      <c r="K24" s="52"/>
      <c r="L24" s="52"/>
      <c r="M24" s="52"/>
      <c r="N24" s="52"/>
      <c r="O24" s="52"/>
      <c r="Q24" s="400"/>
      <c r="R24" s="401"/>
      <c r="S24" s="401"/>
      <c r="T24" s="52"/>
    </row>
    <row r="25" spans="1:22" collapsed="1" x14ac:dyDescent="0.2">
      <c r="A25" s="30" t="s">
        <v>35</v>
      </c>
      <c r="B25" s="52">
        <v>0</v>
      </c>
      <c r="C25" s="52">
        <v>0</v>
      </c>
      <c r="D25" s="52">
        <v>0</v>
      </c>
      <c r="E25" s="109">
        <v>0</v>
      </c>
      <c r="F25" s="52">
        <v>0</v>
      </c>
      <c r="G25" s="52">
        <v>0</v>
      </c>
      <c r="H25" s="52">
        <v>0</v>
      </c>
      <c r="I25" s="52">
        <v>0</v>
      </c>
      <c r="J25" s="52">
        <v>0</v>
      </c>
      <c r="K25" s="52">
        <v>0</v>
      </c>
      <c r="L25" s="52">
        <v>0</v>
      </c>
      <c r="M25" s="52">
        <v>0</v>
      </c>
      <c r="N25" s="52">
        <v>0</v>
      </c>
      <c r="O25" s="52">
        <v>0</v>
      </c>
      <c r="P25" s="31">
        <f>SUM(B25:O25)</f>
        <v>0</v>
      </c>
      <c r="Q25" s="400"/>
      <c r="R25" s="401"/>
      <c r="S25" s="401"/>
      <c r="T25" s="52">
        <f>P25+R25+R26+R27+R28-S28-S27-S26-S25+R29-S29</f>
        <v>0</v>
      </c>
      <c r="V25" s="31">
        <v>0</v>
      </c>
    </row>
    <row r="26" spans="1:22" hidden="1" outlineLevel="1" x14ac:dyDescent="0.2">
      <c r="B26" s="52"/>
      <c r="C26" s="52"/>
      <c r="D26" s="52"/>
      <c r="E26" s="109"/>
      <c r="F26" s="52"/>
      <c r="G26" s="52"/>
      <c r="H26" s="52"/>
      <c r="I26" s="52"/>
      <c r="J26" s="52"/>
      <c r="K26" s="52"/>
      <c r="L26" s="52"/>
      <c r="M26" s="52"/>
      <c r="N26" s="52"/>
      <c r="O26" s="52"/>
      <c r="Q26" s="400"/>
      <c r="R26" s="401"/>
      <c r="S26" s="401"/>
      <c r="T26" s="52"/>
    </row>
    <row r="27" spans="1:22" hidden="1" outlineLevel="1" x14ac:dyDescent="0.2">
      <c r="B27" s="52"/>
      <c r="C27" s="52"/>
      <c r="D27" s="52"/>
      <c r="E27" s="109"/>
      <c r="F27" s="52"/>
      <c r="G27" s="52"/>
      <c r="H27" s="52"/>
      <c r="I27" s="52"/>
      <c r="J27" s="52"/>
      <c r="K27" s="52"/>
      <c r="L27" s="52"/>
      <c r="M27" s="52"/>
      <c r="N27" s="52"/>
      <c r="O27" s="52"/>
      <c r="Q27" s="400"/>
      <c r="R27" s="401"/>
      <c r="S27" s="401"/>
      <c r="T27" s="52"/>
    </row>
    <row r="28" spans="1:22" hidden="1" outlineLevel="1" x14ac:dyDescent="0.2">
      <c r="B28" s="52"/>
      <c r="C28" s="52"/>
      <c r="D28" s="52"/>
      <c r="E28" s="109"/>
      <c r="F28" s="52"/>
      <c r="G28" s="52"/>
      <c r="H28" s="52"/>
      <c r="I28" s="52"/>
      <c r="J28" s="52"/>
      <c r="K28" s="52"/>
      <c r="L28" s="52"/>
      <c r="M28" s="52"/>
      <c r="N28" s="52"/>
      <c r="O28" s="52"/>
      <c r="Q28" s="400"/>
      <c r="R28" s="401"/>
      <c r="S28" s="401"/>
      <c r="T28" s="52"/>
    </row>
    <row r="29" spans="1:22" hidden="1" outlineLevel="1" x14ac:dyDescent="0.2">
      <c r="B29" s="52"/>
      <c r="C29" s="52"/>
      <c r="D29" s="52"/>
      <c r="E29" s="109"/>
      <c r="F29" s="52"/>
      <c r="G29" s="52"/>
      <c r="H29" s="52"/>
      <c r="I29" s="52"/>
      <c r="J29" s="52"/>
      <c r="K29" s="52"/>
      <c r="L29" s="52"/>
      <c r="M29" s="52"/>
      <c r="N29" s="52"/>
      <c r="O29" s="52"/>
      <c r="Q29" s="400"/>
      <c r="R29" s="401"/>
      <c r="S29" s="401"/>
      <c r="T29" s="52"/>
    </row>
    <row r="30" spans="1:22" collapsed="1" x14ac:dyDescent="0.2">
      <c r="A30" s="30" t="s">
        <v>19</v>
      </c>
      <c r="B30" s="52">
        <v>0</v>
      </c>
      <c r="C30" s="52">
        <v>0</v>
      </c>
      <c r="D30" s="52">
        <v>0</v>
      </c>
      <c r="E30" s="109">
        <v>0</v>
      </c>
      <c r="F30" s="52">
        <v>0</v>
      </c>
      <c r="G30" s="52">
        <v>0</v>
      </c>
      <c r="H30" s="52">
        <v>0</v>
      </c>
      <c r="I30" s="52">
        <v>0</v>
      </c>
      <c r="J30" s="52">
        <v>0</v>
      </c>
      <c r="K30" s="52">
        <v>0</v>
      </c>
      <c r="L30" s="52">
        <v>0</v>
      </c>
      <c r="M30" s="52">
        <v>0</v>
      </c>
      <c r="N30" s="52">
        <v>0</v>
      </c>
      <c r="O30" s="52">
        <v>0</v>
      </c>
      <c r="P30" s="31">
        <f>SUM(B30:O30)</f>
        <v>0</v>
      </c>
      <c r="Q30" s="405">
        <v>1</v>
      </c>
      <c r="R30" s="57">
        <f>'Consol 2017 Adj'!$D$16</f>
        <v>169000000</v>
      </c>
      <c r="S30" s="57"/>
      <c r="T30" s="52">
        <f>P30+R30+R31+R32+R33+R34+R35+R36-S36-S35-S34-S33-S32-S31-S30</f>
        <v>0</v>
      </c>
      <c r="V30" s="31">
        <v>0</v>
      </c>
    </row>
    <row r="31" spans="1:22" hidden="1" outlineLevel="1" x14ac:dyDescent="0.2">
      <c r="B31" s="52"/>
      <c r="C31" s="52"/>
      <c r="D31" s="52"/>
      <c r="E31" s="109"/>
      <c r="F31" s="52"/>
      <c r="G31" s="52"/>
      <c r="H31" s="52"/>
      <c r="I31" s="52"/>
      <c r="J31" s="52"/>
      <c r="K31" s="52"/>
      <c r="L31" s="52"/>
      <c r="M31" s="52"/>
      <c r="N31" s="52"/>
      <c r="O31" s="52"/>
      <c r="Q31" s="405">
        <v>3</v>
      </c>
      <c r="R31" s="57"/>
      <c r="S31" s="57">
        <f>'Consol 2017 Adj'!$E$63</f>
        <v>169000000</v>
      </c>
      <c r="T31" s="52"/>
    </row>
    <row r="32" spans="1:22" hidden="1" outlineLevel="1" x14ac:dyDescent="0.2">
      <c r="B32" s="52"/>
      <c r="C32" s="52"/>
      <c r="D32" s="52"/>
      <c r="E32" s="109"/>
      <c r="F32" s="52"/>
      <c r="G32" s="52"/>
      <c r="H32" s="52"/>
      <c r="I32" s="52"/>
      <c r="J32" s="52"/>
      <c r="K32" s="52"/>
      <c r="L32" s="52"/>
      <c r="M32" s="52"/>
      <c r="N32" s="52"/>
      <c r="O32" s="52"/>
      <c r="Q32" s="400"/>
      <c r="R32" s="401"/>
      <c r="S32" s="401"/>
      <c r="T32" s="52"/>
    </row>
    <row r="33" spans="1:22" hidden="1" outlineLevel="1" x14ac:dyDescent="0.2">
      <c r="B33" s="52"/>
      <c r="C33" s="52"/>
      <c r="D33" s="52"/>
      <c r="E33" s="109"/>
      <c r="F33" s="52"/>
      <c r="G33" s="52"/>
      <c r="H33" s="52"/>
      <c r="I33" s="52"/>
      <c r="J33" s="52"/>
      <c r="K33" s="52"/>
      <c r="L33" s="52"/>
      <c r="M33" s="52"/>
      <c r="N33" s="52"/>
      <c r="O33" s="52"/>
      <c r="Q33" s="400"/>
      <c r="R33" s="401"/>
      <c r="S33" s="401"/>
      <c r="T33" s="52"/>
    </row>
    <row r="34" spans="1:22" hidden="1" outlineLevel="1" x14ac:dyDescent="0.2">
      <c r="B34" s="52"/>
      <c r="C34" s="52"/>
      <c r="D34" s="52"/>
      <c r="E34" s="109"/>
      <c r="F34" s="52"/>
      <c r="G34" s="52"/>
      <c r="H34" s="52"/>
      <c r="I34" s="52"/>
      <c r="J34" s="52"/>
      <c r="K34" s="52"/>
      <c r="L34" s="52"/>
      <c r="M34" s="52"/>
      <c r="N34" s="52"/>
      <c r="O34" s="52"/>
      <c r="Q34" s="400"/>
      <c r="R34" s="401"/>
      <c r="S34" s="401"/>
      <c r="T34" s="52"/>
    </row>
    <row r="35" spans="1:22" hidden="1" outlineLevel="1" x14ac:dyDescent="0.2">
      <c r="B35" s="52"/>
      <c r="C35" s="52"/>
      <c r="D35" s="52"/>
      <c r="E35" s="109"/>
      <c r="F35" s="52"/>
      <c r="G35" s="52"/>
      <c r="H35" s="52"/>
      <c r="I35" s="52"/>
      <c r="J35" s="52"/>
      <c r="K35" s="52"/>
      <c r="L35" s="52"/>
      <c r="M35" s="52"/>
      <c r="N35" s="52"/>
      <c r="O35" s="52"/>
      <c r="Q35" s="400"/>
      <c r="R35" s="401"/>
      <c r="S35" s="401"/>
      <c r="T35" s="52"/>
    </row>
    <row r="36" spans="1:22" hidden="1" outlineLevel="1" x14ac:dyDescent="0.2">
      <c r="B36" s="52"/>
      <c r="C36" s="52"/>
      <c r="D36" s="52"/>
      <c r="E36" s="109"/>
      <c r="F36" s="52"/>
      <c r="G36" s="52"/>
      <c r="H36" s="52"/>
      <c r="I36" s="52"/>
      <c r="J36" s="52"/>
      <c r="K36" s="52"/>
      <c r="L36" s="52"/>
      <c r="M36" s="52"/>
      <c r="N36" s="52"/>
      <c r="O36" s="52"/>
      <c r="Q36" s="400"/>
      <c r="R36" s="401"/>
      <c r="S36" s="401"/>
      <c r="T36" s="52"/>
    </row>
    <row r="37" spans="1:22" collapsed="1" x14ac:dyDescent="0.2">
      <c r="A37" s="34" t="s">
        <v>70</v>
      </c>
      <c r="B37" s="52">
        <v>0</v>
      </c>
      <c r="C37" s="52">
        <v>0</v>
      </c>
      <c r="D37" s="52">
        <v>0</v>
      </c>
      <c r="E37" s="109">
        <v>0</v>
      </c>
      <c r="F37" s="52">
        <v>0</v>
      </c>
      <c r="G37" s="52">
        <v>0</v>
      </c>
      <c r="H37" s="52">
        <v>0</v>
      </c>
      <c r="I37" s="52">
        <v>0</v>
      </c>
      <c r="J37" s="52">
        <v>0</v>
      </c>
      <c r="K37" s="52">
        <v>0</v>
      </c>
      <c r="L37" s="52">
        <v>0</v>
      </c>
      <c r="M37" s="52">
        <v>0</v>
      </c>
      <c r="N37" s="52">
        <v>0</v>
      </c>
      <c r="O37" s="52">
        <v>0</v>
      </c>
      <c r="P37" s="31">
        <f>SUM(B37:O37)</f>
        <v>0</v>
      </c>
      <c r="Q37" s="400"/>
      <c r="R37" s="401"/>
      <c r="S37" s="401"/>
      <c r="T37" s="52">
        <f>P37+R37+R38+R39+R40+R41-S41-S40-S39-S38-S37</f>
        <v>0</v>
      </c>
      <c r="V37" s="31">
        <v>0</v>
      </c>
    </row>
    <row r="38" spans="1:22" hidden="1" outlineLevel="1" x14ac:dyDescent="0.2">
      <c r="A38" s="34"/>
      <c r="B38" s="52"/>
      <c r="C38" s="52"/>
      <c r="D38" s="52"/>
      <c r="E38" s="109"/>
      <c r="F38" s="52"/>
      <c r="G38" s="52"/>
      <c r="H38" s="52"/>
      <c r="I38" s="52"/>
      <c r="J38" s="52"/>
      <c r="K38" s="52"/>
      <c r="L38" s="52"/>
      <c r="M38" s="52"/>
      <c r="N38" s="52"/>
      <c r="O38" s="52"/>
      <c r="Q38" s="400"/>
      <c r="R38" s="401"/>
      <c r="S38" s="401"/>
      <c r="T38" s="52"/>
    </row>
    <row r="39" spans="1:22" hidden="1" outlineLevel="1" x14ac:dyDescent="0.2">
      <c r="A39" s="34"/>
      <c r="B39" s="52"/>
      <c r="C39" s="52"/>
      <c r="D39" s="52"/>
      <c r="E39" s="109"/>
      <c r="F39" s="52"/>
      <c r="G39" s="52"/>
      <c r="H39" s="52"/>
      <c r="I39" s="52"/>
      <c r="J39" s="52"/>
      <c r="K39" s="52"/>
      <c r="L39" s="52"/>
      <c r="M39" s="52"/>
      <c r="N39" s="52"/>
      <c r="O39" s="52"/>
      <c r="Q39" s="400"/>
      <c r="R39" s="401"/>
      <c r="S39" s="401"/>
      <c r="T39" s="52"/>
    </row>
    <row r="40" spans="1:22" hidden="1" outlineLevel="1" x14ac:dyDescent="0.2">
      <c r="A40" s="34"/>
      <c r="B40" s="52"/>
      <c r="C40" s="52"/>
      <c r="D40" s="52"/>
      <c r="E40" s="109"/>
      <c r="F40" s="52"/>
      <c r="G40" s="52"/>
      <c r="H40" s="52"/>
      <c r="I40" s="52"/>
      <c r="J40" s="52"/>
      <c r="K40" s="52"/>
      <c r="L40" s="52"/>
      <c r="M40" s="52"/>
      <c r="N40" s="52"/>
      <c r="O40" s="52"/>
      <c r="Q40" s="400"/>
      <c r="R40" s="401"/>
      <c r="S40" s="401"/>
      <c r="T40" s="52"/>
    </row>
    <row r="41" spans="1:22" hidden="1" outlineLevel="1" x14ac:dyDescent="0.2">
      <c r="A41" s="34"/>
      <c r="B41" s="52"/>
      <c r="C41" s="52"/>
      <c r="D41" s="52"/>
      <c r="E41" s="109"/>
      <c r="F41" s="52"/>
      <c r="G41" s="52"/>
      <c r="H41" s="52"/>
      <c r="I41" s="52"/>
      <c r="J41" s="52"/>
      <c r="K41" s="52"/>
      <c r="L41" s="52"/>
      <c r="M41" s="52"/>
      <c r="N41" s="52"/>
      <c r="O41" s="52"/>
      <c r="Q41" s="400"/>
      <c r="R41" s="401"/>
      <c r="S41" s="401"/>
      <c r="T41" s="52"/>
    </row>
    <row r="42" spans="1:22" collapsed="1" x14ac:dyDescent="0.2">
      <c r="A42" s="34" t="s">
        <v>120</v>
      </c>
      <c r="B42" s="52">
        <v>0</v>
      </c>
      <c r="C42" s="52">
        <v>0</v>
      </c>
      <c r="D42" s="52">
        <v>0</v>
      </c>
      <c r="E42" s="109">
        <v>0</v>
      </c>
      <c r="F42" s="52">
        <v>0</v>
      </c>
      <c r="G42" s="52">
        <v>0</v>
      </c>
      <c r="H42" s="52">
        <v>0</v>
      </c>
      <c r="I42" s="52">
        <v>0</v>
      </c>
      <c r="J42" s="52">
        <v>0</v>
      </c>
      <c r="K42" s="52">
        <f>(4333745+137180+137180)+17180+(17180+69052)+86173+70580+4400+2200+2200+26000+(2200+70580+4400)+(70580+8992+6600)+(70580+6600)+(70580+6600)+(70580+6600)+(70580+6600+237+200+900+168+8000+8992+1960)+(3000+6600+70581)+(70580+6600)+(70580+2200+2200+2200)+(8992+70580+6600)+(2200+70580+4400)+(70580+6600)-367316+(70580)</f>
        <v>5573936</v>
      </c>
      <c r="L42" s="52">
        <v>0</v>
      </c>
      <c r="M42" s="52">
        <v>0</v>
      </c>
      <c r="N42" s="52">
        <v>0</v>
      </c>
      <c r="O42" s="52">
        <v>0</v>
      </c>
      <c r="P42" s="31">
        <f>SUM(B42:O42)</f>
        <v>5573936</v>
      </c>
      <c r="Q42" s="400"/>
      <c r="R42" s="401"/>
      <c r="S42" s="401"/>
      <c r="T42" s="52">
        <f>P42+R42-S42</f>
        <v>5573936</v>
      </c>
      <c r="V42" s="31">
        <v>5573</v>
      </c>
    </row>
    <row r="43" spans="1:22" x14ac:dyDescent="0.2">
      <c r="A43" s="55" t="s">
        <v>1084</v>
      </c>
      <c r="B43" s="52">
        <v>0</v>
      </c>
      <c r="C43" s="52">
        <v>0</v>
      </c>
      <c r="D43" s="52">
        <v>0</v>
      </c>
      <c r="E43" s="109">
        <v>0</v>
      </c>
      <c r="F43" s="52">
        <v>0</v>
      </c>
      <c r="G43" s="52">
        <v>0</v>
      </c>
      <c r="H43" s="52">
        <v>0</v>
      </c>
      <c r="I43" s="52">
        <v>0</v>
      </c>
      <c r="J43" s="52">
        <v>0</v>
      </c>
      <c r="K43" s="52">
        <v>0</v>
      </c>
      <c r="L43" s="52">
        <v>0</v>
      </c>
      <c r="M43" s="52">
        <v>0</v>
      </c>
      <c r="N43" s="52">
        <v>0</v>
      </c>
      <c r="O43" s="52">
        <v>0</v>
      </c>
      <c r="P43" s="31">
        <f>SUM(B43:O43)</f>
        <v>0</v>
      </c>
      <c r="Q43" s="400"/>
      <c r="R43" s="401"/>
      <c r="S43" s="401"/>
      <c r="T43" s="52">
        <f>P43+R43-S43+R44-S44+R45-S45+R46-S46+R47-S47+R48-S48+R49-S49+R50-S50+R51-S51+R52-S52+R53-S53</f>
        <v>0</v>
      </c>
      <c r="V43" s="31">
        <v>0</v>
      </c>
    </row>
    <row r="44" spans="1:22" hidden="1" outlineLevel="1" x14ac:dyDescent="0.2">
      <c r="A44" s="55"/>
      <c r="B44" s="52"/>
      <c r="C44" s="52"/>
      <c r="D44" s="52"/>
      <c r="E44" s="109"/>
      <c r="F44" s="52"/>
      <c r="G44" s="52"/>
      <c r="H44" s="52"/>
      <c r="I44" s="52"/>
      <c r="J44" s="52"/>
      <c r="K44" s="52"/>
      <c r="L44" s="52"/>
      <c r="M44" s="52"/>
      <c r="N44" s="52"/>
      <c r="O44" s="52"/>
      <c r="Q44" s="400"/>
      <c r="R44" s="401"/>
      <c r="S44" s="401"/>
      <c r="T44" s="52"/>
    </row>
    <row r="45" spans="1:22" hidden="1" outlineLevel="1" x14ac:dyDescent="0.2">
      <c r="A45" s="55"/>
      <c r="B45" s="52"/>
      <c r="C45" s="52"/>
      <c r="D45" s="52"/>
      <c r="E45" s="109"/>
      <c r="F45" s="52"/>
      <c r="G45" s="52"/>
      <c r="H45" s="52"/>
      <c r="I45" s="52"/>
      <c r="J45" s="52"/>
      <c r="K45" s="52"/>
      <c r="L45" s="52"/>
      <c r="M45" s="52"/>
      <c r="N45" s="52"/>
      <c r="O45" s="52"/>
      <c r="Q45" s="400"/>
      <c r="R45" s="401"/>
      <c r="S45" s="401"/>
      <c r="T45" s="52"/>
    </row>
    <row r="46" spans="1:22" hidden="1" outlineLevel="1" x14ac:dyDescent="0.2">
      <c r="A46" s="55"/>
      <c r="B46" s="52"/>
      <c r="C46" s="52"/>
      <c r="D46" s="52"/>
      <c r="E46" s="109"/>
      <c r="F46" s="52"/>
      <c r="G46" s="52"/>
      <c r="H46" s="52"/>
      <c r="I46" s="52"/>
      <c r="J46" s="52"/>
      <c r="K46" s="52"/>
      <c r="L46" s="52"/>
      <c r="M46" s="52"/>
      <c r="N46" s="52"/>
      <c r="O46" s="52"/>
      <c r="Q46" s="400"/>
      <c r="R46" s="401"/>
      <c r="S46" s="401"/>
      <c r="T46" s="52"/>
    </row>
    <row r="47" spans="1:22" hidden="1" outlineLevel="1" x14ac:dyDescent="0.2">
      <c r="A47" s="55"/>
      <c r="B47" s="52"/>
      <c r="C47" s="52"/>
      <c r="D47" s="52"/>
      <c r="E47" s="109"/>
      <c r="F47" s="52"/>
      <c r="G47" s="52"/>
      <c r="H47" s="52"/>
      <c r="I47" s="52"/>
      <c r="J47" s="52"/>
      <c r="K47" s="52"/>
      <c r="L47" s="52"/>
      <c r="M47" s="52"/>
      <c r="N47" s="52"/>
      <c r="O47" s="52"/>
      <c r="Q47" s="400"/>
      <c r="R47" s="401"/>
      <c r="S47" s="401"/>
      <c r="T47" s="52"/>
    </row>
    <row r="48" spans="1:22" hidden="1" outlineLevel="1" x14ac:dyDescent="0.2">
      <c r="A48" s="55"/>
      <c r="B48" s="52"/>
      <c r="C48" s="52"/>
      <c r="D48" s="52"/>
      <c r="E48" s="109"/>
      <c r="F48" s="52"/>
      <c r="G48" s="52"/>
      <c r="H48" s="52"/>
      <c r="I48" s="52"/>
      <c r="J48" s="52"/>
      <c r="K48" s="52"/>
      <c r="L48" s="52"/>
      <c r="M48" s="52"/>
      <c r="N48" s="52"/>
      <c r="O48" s="52"/>
      <c r="Q48" s="400"/>
      <c r="R48" s="401"/>
      <c r="S48" s="401"/>
      <c r="T48" s="52"/>
    </row>
    <row r="49" spans="1:22" hidden="1" outlineLevel="1" x14ac:dyDescent="0.2">
      <c r="A49" s="55"/>
      <c r="B49" s="52"/>
      <c r="C49" s="52"/>
      <c r="D49" s="52"/>
      <c r="E49" s="109"/>
      <c r="F49" s="52"/>
      <c r="G49" s="52"/>
      <c r="H49" s="52"/>
      <c r="I49" s="52"/>
      <c r="J49" s="52"/>
      <c r="K49" s="52"/>
      <c r="L49" s="52"/>
      <c r="M49" s="52"/>
      <c r="N49" s="52"/>
      <c r="O49" s="52"/>
      <c r="Q49" s="400"/>
      <c r="R49" s="401"/>
      <c r="S49" s="401"/>
      <c r="T49" s="52"/>
    </row>
    <row r="50" spans="1:22" hidden="1" outlineLevel="1" x14ac:dyDescent="0.2">
      <c r="A50" s="55"/>
      <c r="B50" s="52"/>
      <c r="C50" s="52"/>
      <c r="D50" s="52"/>
      <c r="E50" s="109"/>
      <c r="F50" s="52"/>
      <c r="G50" s="52"/>
      <c r="H50" s="52"/>
      <c r="I50" s="52"/>
      <c r="J50" s="52"/>
      <c r="K50" s="52"/>
      <c r="L50" s="52"/>
      <c r="M50" s="52"/>
      <c r="N50" s="52"/>
      <c r="O50" s="52"/>
      <c r="Q50" s="400"/>
      <c r="R50" s="401"/>
      <c r="S50" s="402"/>
      <c r="T50" s="52"/>
    </row>
    <row r="51" spans="1:22" hidden="1" outlineLevel="1" x14ac:dyDescent="0.2">
      <c r="A51" s="55"/>
      <c r="B51" s="52"/>
      <c r="C51" s="52"/>
      <c r="D51" s="52"/>
      <c r="E51" s="109"/>
      <c r="F51" s="52"/>
      <c r="G51" s="52"/>
      <c r="H51" s="52"/>
      <c r="I51" s="52"/>
      <c r="J51" s="52"/>
      <c r="K51" s="52"/>
      <c r="L51" s="52"/>
      <c r="M51" s="52"/>
      <c r="N51" s="52"/>
      <c r="O51" s="52"/>
      <c r="Q51" s="400"/>
      <c r="R51" s="401"/>
      <c r="S51" s="403"/>
      <c r="T51" s="52"/>
    </row>
    <row r="52" spans="1:22" hidden="1" outlineLevel="1" x14ac:dyDescent="0.2">
      <c r="A52" s="55"/>
      <c r="B52" s="52"/>
      <c r="C52" s="52"/>
      <c r="D52" s="52"/>
      <c r="E52" s="109"/>
      <c r="F52" s="52"/>
      <c r="G52" s="52"/>
      <c r="H52" s="52"/>
      <c r="I52" s="52"/>
      <c r="J52" s="52"/>
      <c r="K52" s="52"/>
      <c r="L52" s="52"/>
      <c r="M52" s="52"/>
      <c r="N52" s="52"/>
      <c r="O52" s="52"/>
      <c r="Q52" s="400"/>
      <c r="R52" s="401"/>
      <c r="S52" s="401"/>
      <c r="T52" s="52"/>
    </row>
    <row r="53" spans="1:22" hidden="1" outlineLevel="1" x14ac:dyDescent="0.2">
      <c r="A53" s="55"/>
      <c r="B53" s="52"/>
      <c r="C53" s="52"/>
      <c r="D53" s="52"/>
      <c r="E53" s="109"/>
      <c r="F53" s="52"/>
      <c r="G53" s="52"/>
      <c r="H53" s="52"/>
      <c r="I53" s="52"/>
      <c r="J53" s="52"/>
      <c r="K53" s="52"/>
      <c r="L53" s="52"/>
      <c r="M53" s="52"/>
      <c r="N53" s="52"/>
      <c r="O53" s="52"/>
      <c r="Q53" s="400"/>
      <c r="R53" s="401"/>
      <c r="S53" s="401"/>
      <c r="T53" s="52"/>
    </row>
    <row r="54" spans="1:22" collapsed="1" x14ac:dyDescent="0.2">
      <c r="A54" s="34" t="s">
        <v>64</v>
      </c>
      <c r="B54" s="52">
        <f>36597497+1764049</f>
        <v>38361546</v>
      </c>
      <c r="C54" s="52">
        <v>0</v>
      </c>
      <c r="D54" s="52">
        <v>0</v>
      </c>
      <c r="E54" s="109">
        <v>0</v>
      </c>
      <c r="F54" s="52">
        <v>0</v>
      </c>
      <c r="G54" s="52">
        <v>0</v>
      </c>
      <c r="H54" s="52">
        <v>0</v>
      </c>
      <c r="I54" s="52">
        <v>0</v>
      </c>
      <c r="J54" s="52">
        <v>0</v>
      </c>
      <c r="K54" s="52">
        <v>0</v>
      </c>
      <c r="L54" s="52">
        <v>0</v>
      </c>
      <c r="M54" s="52">
        <v>0</v>
      </c>
      <c r="N54" s="52">
        <v>0</v>
      </c>
      <c r="O54" s="52">
        <v>0</v>
      </c>
      <c r="P54" s="31">
        <f>SUM(B54:O54)</f>
        <v>38361546</v>
      </c>
      <c r="Q54" s="405" t="s">
        <v>1216</v>
      </c>
      <c r="R54" s="57"/>
      <c r="S54" s="57">
        <f>'Consol 2017 Adj'!$E$9</f>
        <v>55606591</v>
      </c>
      <c r="T54" s="52">
        <f>P54+R54+R55+R56+R57+R58+R59+R60+R61+R62+R63+R64+R65+R66+R67+R68+R69+R70+R73-S73-S70-S69-S68-S67-S66-S65-S64-S63-S62-S61-S60-S59-S58-S57-S56-S55-S54+R71-S71+U54+R72-S72+R80-S80+R77-S77+R74-S74+R75-S75+R76-S76+R81-S81+R82-S82+R78-S78+R79-S79</f>
        <v>0</v>
      </c>
      <c r="U54" s="30">
        <v>2</v>
      </c>
      <c r="V54" s="31">
        <v>0</v>
      </c>
    </row>
    <row r="55" spans="1:22" hidden="1" outlineLevel="1" x14ac:dyDescent="0.2">
      <c r="A55" s="34"/>
      <c r="B55" s="52"/>
      <c r="C55" s="52"/>
      <c r="D55" s="52"/>
      <c r="E55" s="109"/>
      <c r="F55" s="52"/>
      <c r="G55" s="52"/>
      <c r="H55" s="52"/>
      <c r="I55" s="52"/>
      <c r="J55" s="52"/>
      <c r="K55" s="52"/>
      <c r="L55" s="52"/>
      <c r="M55" s="52"/>
      <c r="N55" s="52"/>
      <c r="O55" s="52"/>
      <c r="Q55" s="405" t="s">
        <v>1217</v>
      </c>
      <c r="R55" s="57"/>
      <c r="S55" s="57">
        <f>'Consol 2017 Adj'!$E$17</f>
        <v>178282343</v>
      </c>
      <c r="T55" s="52"/>
    </row>
    <row r="56" spans="1:22" hidden="1" outlineLevel="1" x14ac:dyDescent="0.2">
      <c r="A56" s="34"/>
      <c r="B56" s="52"/>
      <c r="C56" s="52"/>
      <c r="D56" s="52"/>
      <c r="E56" s="109"/>
      <c r="F56" s="52"/>
      <c r="G56" s="52"/>
      <c r="H56" s="52"/>
      <c r="I56" s="52"/>
      <c r="J56" s="52"/>
      <c r="K56" s="52"/>
      <c r="L56" s="52"/>
      <c r="M56" s="52"/>
      <c r="N56" s="52"/>
      <c r="O56" s="52"/>
      <c r="Q56" s="314" t="s">
        <v>1229</v>
      </c>
      <c r="R56" s="57"/>
      <c r="S56" s="57">
        <f>'Consol 2017 Adj'!$E$27</f>
        <v>35079930</v>
      </c>
      <c r="T56" s="52"/>
    </row>
    <row r="57" spans="1:22" hidden="1" outlineLevel="1" x14ac:dyDescent="0.2">
      <c r="A57" s="34"/>
      <c r="B57" s="52"/>
      <c r="C57" s="52"/>
      <c r="D57" s="52"/>
      <c r="E57" s="109"/>
      <c r="F57" s="52"/>
      <c r="G57" s="52"/>
      <c r="H57" s="52"/>
      <c r="I57" s="52"/>
      <c r="J57" s="52"/>
      <c r="K57" s="52"/>
      <c r="L57" s="52"/>
      <c r="M57" s="52"/>
      <c r="N57" s="52"/>
      <c r="O57" s="52"/>
      <c r="Q57" s="314" t="s">
        <v>1218</v>
      </c>
      <c r="R57" s="57"/>
      <c r="S57" s="57">
        <f>'Consol 2017 Adj'!$E$43</f>
        <v>14800010</v>
      </c>
      <c r="T57" s="52"/>
    </row>
    <row r="58" spans="1:22" hidden="1" outlineLevel="1" x14ac:dyDescent="0.2">
      <c r="A58" s="34"/>
      <c r="B58" s="52"/>
      <c r="C58" s="52"/>
      <c r="D58" s="52"/>
      <c r="E58" s="109"/>
      <c r="F58" s="52"/>
      <c r="G58" s="52"/>
      <c r="H58" s="52"/>
      <c r="I58" s="52"/>
      <c r="J58" s="52"/>
      <c r="K58" s="52"/>
      <c r="L58" s="52"/>
      <c r="M58" s="52"/>
      <c r="N58" s="52"/>
      <c r="O58" s="52"/>
      <c r="Q58" s="314" t="s">
        <v>1243</v>
      </c>
      <c r="R58" s="57">
        <f>'Consol 2017 Adj'!$D$47</f>
        <v>25162</v>
      </c>
      <c r="S58" s="57"/>
      <c r="T58" s="52"/>
    </row>
    <row r="59" spans="1:22" hidden="1" outlineLevel="1" x14ac:dyDescent="0.2">
      <c r="A59" s="34"/>
      <c r="B59" s="52"/>
      <c r="C59" s="52"/>
      <c r="D59" s="52"/>
      <c r="E59" s="109"/>
      <c r="F59" s="52"/>
      <c r="G59" s="52"/>
      <c r="H59" s="52"/>
      <c r="I59" s="52"/>
      <c r="J59" s="52"/>
      <c r="K59" s="52"/>
      <c r="L59" s="52"/>
      <c r="M59" s="52"/>
      <c r="N59" s="52"/>
      <c r="O59" s="52"/>
      <c r="Q59" s="405">
        <v>2</v>
      </c>
      <c r="R59" s="57">
        <f>'Consol 2017 Adj'!$D$53</f>
        <v>245382164</v>
      </c>
      <c r="S59" s="57"/>
      <c r="T59" s="52"/>
    </row>
    <row r="60" spans="1:22" hidden="1" outlineLevel="1" x14ac:dyDescent="0.2">
      <c r="A60" s="34"/>
      <c r="B60" s="52"/>
      <c r="C60" s="52"/>
      <c r="D60" s="52"/>
      <c r="E60" s="109"/>
      <c r="F60" s="52"/>
      <c r="G60" s="52"/>
      <c r="H60" s="52"/>
      <c r="I60" s="52"/>
      <c r="J60" s="52"/>
      <c r="K60" s="52"/>
      <c r="L60" s="52"/>
      <c r="M60" s="52"/>
      <c r="N60" s="52"/>
      <c r="O60" s="52"/>
      <c r="Q60" s="400"/>
      <c r="R60" s="401"/>
      <c r="S60" s="401"/>
      <c r="T60" s="52"/>
    </row>
    <row r="61" spans="1:22" hidden="1" outlineLevel="1" x14ac:dyDescent="0.2">
      <c r="A61" s="34"/>
      <c r="B61" s="52"/>
      <c r="C61" s="52"/>
      <c r="D61" s="52"/>
      <c r="E61" s="109"/>
      <c r="F61" s="52"/>
      <c r="G61" s="52"/>
      <c r="H61" s="52"/>
      <c r="I61" s="52"/>
      <c r="J61" s="52"/>
      <c r="K61" s="52"/>
      <c r="L61" s="52"/>
      <c r="M61" s="52"/>
      <c r="N61" s="52"/>
      <c r="O61" s="52"/>
      <c r="Q61" s="400"/>
      <c r="R61" s="401"/>
      <c r="S61" s="401"/>
      <c r="T61" s="52"/>
    </row>
    <row r="62" spans="1:22" hidden="1" outlineLevel="1" x14ac:dyDescent="0.2">
      <c r="A62" s="34"/>
      <c r="B62" s="52"/>
      <c r="C62" s="52"/>
      <c r="D62" s="52"/>
      <c r="E62" s="109"/>
      <c r="F62" s="52"/>
      <c r="G62" s="52"/>
      <c r="H62" s="52"/>
      <c r="I62" s="52"/>
      <c r="J62" s="52"/>
      <c r="K62" s="52"/>
      <c r="L62" s="52"/>
      <c r="M62" s="52"/>
      <c r="N62" s="52"/>
      <c r="O62" s="52"/>
      <c r="Q62" s="400"/>
      <c r="R62" s="401"/>
      <c r="S62" s="401"/>
      <c r="T62" s="52"/>
    </row>
    <row r="63" spans="1:22" hidden="1" outlineLevel="1" x14ac:dyDescent="0.2">
      <c r="A63" s="34"/>
      <c r="B63" s="52"/>
      <c r="C63" s="52"/>
      <c r="D63" s="52"/>
      <c r="E63" s="109"/>
      <c r="F63" s="52"/>
      <c r="G63" s="52"/>
      <c r="H63" s="52"/>
      <c r="I63" s="52"/>
      <c r="J63" s="52"/>
      <c r="K63" s="52"/>
      <c r="L63" s="52"/>
      <c r="M63" s="52"/>
      <c r="N63" s="52"/>
      <c r="O63" s="52"/>
      <c r="Q63" s="400"/>
      <c r="R63" s="401"/>
      <c r="S63" s="401"/>
      <c r="T63" s="52"/>
    </row>
    <row r="64" spans="1:22" hidden="1" outlineLevel="1" x14ac:dyDescent="0.2">
      <c r="A64" s="34"/>
      <c r="B64" s="52"/>
      <c r="C64" s="52"/>
      <c r="D64" s="52"/>
      <c r="E64" s="109"/>
      <c r="F64" s="52"/>
      <c r="G64" s="52"/>
      <c r="H64" s="52"/>
      <c r="I64" s="52"/>
      <c r="J64" s="52"/>
      <c r="K64" s="52"/>
      <c r="L64" s="52"/>
      <c r="M64" s="52"/>
      <c r="N64" s="52"/>
      <c r="O64" s="52"/>
      <c r="Q64" s="396"/>
      <c r="R64" s="401"/>
      <c r="S64" s="401"/>
      <c r="T64" s="52"/>
    </row>
    <row r="65" spans="1:20" hidden="1" outlineLevel="1" x14ac:dyDescent="0.2">
      <c r="A65" s="34"/>
      <c r="B65" s="52"/>
      <c r="C65" s="52"/>
      <c r="D65" s="52"/>
      <c r="E65" s="109"/>
      <c r="F65" s="52"/>
      <c r="G65" s="52"/>
      <c r="H65" s="52"/>
      <c r="I65" s="52"/>
      <c r="J65" s="52"/>
      <c r="K65" s="52"/>
      <c r="L65" s="52"/>
      <c r="M65" s="52"/>
      <c r="N65" s="52"/>
      <c r="O65" s="52"/>
      <c r="Q65" s="400"/>
      <c r="R65" s="401"/>
      <c r="S65" s="401"/>
      <c r="T65" s="52"/>
    </row>
    <row r="66" spans="1:20" hidden="1" outlineLevel="1" x14ac:dyDescent="0.2">
      <c r="A66" s="34"/>
      <c r="B66" s="52"/>
      <c r="C66" s="52"/>
      <c r="D66" s="52"/>
      <c r="E66" s="109"/>
      <c r="F66" s="52"/>
      <c r="G66" s="52"/>
      <c r="H66" s="52"/>
      <c r="I66" s="52"/>
      <c r="J66" s="52"/>
      <c r="K66" s="52"/>
      <c r="L66" s="52"/>
      <c r="M66" s="52"/>
      <c r="N66" s="52"/>
      <c r="O66" s="52"/>
      <c r="Q66" s="400"/>
      <c r="R66" s="401"/>
      <c r="S66" s="401"/>
      <c r="T66" s="52"/>
    </row>
    <row r="67" spans="1:20" hidden="1" outlineLevel="1" x14ac:dyDescent="0.2">
      <c r="A67" s="34"/>
      <c r="B67" s="52"/>
      <c r="C67" s="52"/>
      <c r="D67" s="52"/>
      <c r="E67" s="109"/>
      <c r="F67" s="52"/>
      <c r="G67" s="52"/>
      <c r="H67" s="52"/>
      <c r="I67" s="52"/>
      <c r="J67" s="52"/>
      <c r="K67" s="52"/>
      <c r="L67" s="52"/>
      <c r="M67" s="52"/>
      <c r="N67" s="52"/>
      <c r="O67" s="52"/>
      <c r="Q67" s="400"/>
      <c r="R67" s="401"/>
      <c r="S67" s="401"/>
      <c r="T67" s="52"/>
    </row>
    <row r="68" spans="1:20" hidden="1" outlineLevel="1" x14ac:dyDescent="0.2">
      <c r="A68" s="34"/>
      <c r="B68" s="52"/>
      <c r="C68" s="52"/>
      <c r="D68" s="52"/>
      <c r="E68" s="109"/>
      <c r="F68" s="52"/>
      <c r="G68" s="52"/>
      <c r="H68" s="52"/>
      <c r="I68" s="52"/>
      <c r="J68" s="52"/>
      <c r="K68" s="52"/>
      <c r="L68" s="52"/>
      <c r="M68" s="52"/>
      <c r="N68" s="52"/>
      <c r="O68" s="52"/>
      <c r="Q68" s="400"/>
      <c r="R68" s="401"/>
      <c r="S68" s="401"/>
      <c r="T68" s="52"/>
    </row>
    <row r="69" spans="1:20" hidden="1" outlineLevel="1" x14ac:dyDescent="0.2">
      <c r="A69" s="34"/>
      <c r="B69" s="52"/>
      <c r="C69" s="52"/>
      <c r="D69" s="52"/>
      <c r="E69" s="109"/>
      <c r="F69" s="52"/>
      <c r="G69" s="52"/>
      <c r="H69" s="52"/>
      <c r="I69" s="52"/>
      <c r="J69" s="52"/>
      <c r="K69" s="52"/>
      <c r="L69" s="52"/>
      <c r="M69" s="52"/>
      <c r="N69" s="52"/>
      <c r="O69" s="52"/>
      <c r="Q69" s="400"/>
      <c r="R69" s="401"/>
      <c r="S69" s="401"/>
      <c r="T69" s="52"/>
    </row>
    <row r="70" spans="1:20" hidden="1" outlineLevel="1" x14ac:dyDescent="0.2">
      <c r="A70" s="34"/>
      <c r="B70" s="52"/>
      <c r="C70" s="52"/>
      <c r="D70" s="52"/>
      <c r="E70" s="109"/>
      <c r="F70" s="52"/>
      <c r="G70" s="52"/>
      <c r="H70" s="52"/>
      <c r="I70" s="52"/>
      <c r="J70" s="52"/>
      <c r="K70" s="52"/>
      <c r="L70" s="52"/>
      <c r="M70" s="52"/>
      <c r="N70" s="52"/>
      <c r="O70" s="52"/>
      <c r="Q70" s="400"/>
      <c r="R70" s="401"/>
      <c r="S70" s="401"/>
      <c r="T70" s="52"/>
    </row>
    <row r="71" spans="1:20" hidden="1" outlineLevel="1" x14ac:dyDescent="0.2">
      <c r="A71" s="34"/>
      <c r="B71" s="52"/>
      <c r="C71" s="52"/>
      <c r="D71" s="52"/>
      <c r="E71" s="109"/>
      <c r="F71" s="52"/>
      <c r="G71" s="52"/>
      <c r="H71" s="52"/>
      <c r="I71" s="52"/>
      <c r="J71" s="52"/>
      <c r="K71" s="52"/>
      <c r="L71" s="52"/>
      <c r="M71" s="52"/>
      <c r="N71" s="52"/>
      <c r="O71" s="52"/>
      <c r="Q71" s="400"/>
      <c r="R71" s="401"/>
      <c r="S71" s="401"/>
      <c r="T71" s="52"/>
    </row>
    <row r="72" spans="1:20" hidden="1" outlineLevel="1" x14ac:dyDescent="0.2">
      <c r="A72" s="34"/>
      <c r="B72" s="52"/>
      <c r="C72" s="52"/>
      <c r="D72" s="52"/>
      <c r="E72" s="109"/>
      <c r="F72" s="52"/>
      <c r="G72" s="52"/>
      <c r="H72" s="52"/>
      <c r="I72" s="52"/>
      <c r="J72" s="52"/>
      <c r="K72" s="52"/>
      <c r="L72" s="52"/>
      <c r="M72" s="52"/>
      <c r="N72" s="52"/>
      <c r="O72" s="52"/>
      <c r="Q72" s="400"/>
      <c r="R72" s="401"/>
      <c r="S72" s="401"/>
      <c r="T72" s="52"/>
    </row>
    <row r="73" spans="1:20" hidden="1" outlineLevel="1" x14ac:dyDescent="0.2">
      <c r="A73" s="34"/>
      <c r="B73" s="52"/>
      <c r="C73" s="52"/>
      <c r="D73" s="52"/>
      <c r="E73" s="109"/>
      <c r="F73" s="52"/>
      <c r="G73" s="52"/>
      <c r="H73" s="52"/>
      <c r="I73" s="52"/>
      <c r="J73" s="52"/>
      <c r="K73" s="52"/>
      <c r="L73" s="52"/>
      <c r="M73" s="52"/>
      <c r="N73" s="52"/>
      <c r="O73" s="52"/>
      <c r="Q73" s="400"/>
      <c r="R73" s="401"/>
      <c r="S73" s="401"/>
      <c r="T73" s="52"/>
    </row>
    <row r="74" spans="1:20" hidden="1" outlineLevel="1" x14ac:dyDescent="0.2">
      <c r="A74" s="34"/>
      <c r="B74" s="52"/>
      <c r="C74" s="52"/>
      <c r="D74" s="52"/>
      <c r="E74" s="109"/>
      <c r="F74" s="52"/>
      <c r="G74" s="52"/>
      <c r="H74" s="52"/>
      <c r="I74" s="52"/>
      <c r="J74" s="52"/>
      <c r="K74" s="52"/>
      <c r="L74" s="52"/>
      <c r="M74" s="52"/>
      <c r="N74" s="52"/>
      <c r="O74" s="52"/>
      <c r="Q74" s="400"/>
      <c r="R74" s="401"/>
      <c r="S74" s="401"/>
      <c r="T74" s="52"/>
    </row>
    <row r="75" spans="1:20" hidden="1" outlineLevel="1" x14ac:dyDescent="0.2">
      <c r="A75" s="34"/>
      <c r="B75" s="52"/>
      <c r="C75" s="52"/>
      <c r="D75" s="52"/>
      <c r="E75" s="109"/>
      <c r="F75" s="52"/>
      <c r="G75" s="52"/>
      <c r="H75" s="52"/>
      <c r="I75" s="52"/>
      <c r="J75" s="52"/>
      <c r="K75" s="52"/>
      <c r="L75" s="52"/>
      <c r="M75" s="52"/>
      <c r="N75" s="52"/>
      <c r="O75" s="52"/>
      <c r="Q75" s="400"/>
      <c r="R75" s="401"/>
      <c r="S75" s="401"/>
      <c r="T75" s="52"/>
    </row>
    <row r="76" spans="1:20" hidden="1" outlineLevel="1" x14ac:dyDescent="0.2">
      <c r="A76" s="34"/>
      <c r="B76" s="52"/>
      <c r="C76" s="52"/>
      <c r="D76" s="52"/>
      <c r="E76" s="109"/>
      <c r="F76" s="52"/>
      <c r="G76" s="52"/>
      <c r="H76" s="52"/>
      <c r="I76" s="52"/>
      <c r="J76" s="52"/>
      <c r="K76" s="52"/>
      <c r="L76" s="52"/>
      <c r="M76" s="52"/>
      <c r="N76" s="52"/>
      <c r="O76" s="52"/>
      <c r="Q76" s="400"/>
      <c r="R76" s="401"/>
      <c r="S76" s="401"/>
      <c r="T76" s="52"/>
    </row>
    <row r="77" spans="1:20" hidden="1" outlineLevel="1" x14ac:dyDescent="0.2">
      <c r="A77" s="34"/>
      <c r="B77" s="52"/>
      <c r="C77" s="52"/>
      <c r="D77" s="52"/>
      <c r="E77" s="109"/>
      <c r="F77" s="52"/>
      <c r="G77" s="52"/>
      <c r="H77" s="52"/>
      <c r="I77" s="52"/>
      <c r="J77" s="52"/>
      <c r="K77" s="52"/>
      <c r="L77" s="52"/>
      <c r="M77" s="52"/>
      <c r="N77" s="52"/>
      <c r="O77" s="52"/>
      <c r="Q77" s="400"/>
      <c r="R77" s="401"/>
      <c r="S77" s="401"/>
      <c r="T77" s="52"/>
    </row>
    <row r="78" spans="1:20" hidden="1" outlineLevel="1" x14ac:dyDescent="0.2">
      <c r="A78" s="34"/>
      <c r="B78" s="52"/>
      <c r="C78" s="52"/>
      <c r="D78" s="52"/>
      <c r="E78" s="109"/>
      <c r="F78" s="52"/>
      <c r="G78" s="52"/>
      <c r="H78" s="52"/>
      <c r="I78" s="52"/>
      <c r="J78" s="52"/>
      <c r="K78" s="52"/>
      <c r="L78" s="52"/>
      <c r="M78" s="52"/>
      <c r="N78" s="52"/>
      <c r="O78" s="52"/>
      <c r="Q78" s="400"/>
      <c r="R78" s="401"/>
      <c r="S78" s="401"/>
      <c r="T78" s="52"/>
    </row>
    <row r="79" spans="1:20" hidden="1" outlineLevel="1" x14ac:dyDescent="0.2">
      <c r="A79" s="34"/>
      <c r="B79" s="52"/>
      <c r="C79" s="52"/>
      <c r="D79" s="52"/>
      <c r="E79" s="109"/>
      <c r="F79" s="52"/>
      <c r="G79" s="52"/>
      <c r="H79" s="52"/>
      <c r="I79" s="52"/>
      <c r="J79" s="52"/>
      <c r="K79" s="52"/>
      <c r="L79" s="52"/>
      <c r="M79" s="52"/>
      <c r="N79" s="52"/>
      <c r="O79" s="52"/>
      <c r="Q79" s="400"/>
      <c r="R79" s="401"/>
      <c r="S79" s="401"/>
      <c r="T79" s="52"/>
    </row>
    <row r="80" spans="1:20" hidden="1" outlineLevel="1" x14ac:dyDescent="0.2">
      <c r="A80" s="34"/>
      <c r="B80" s="52"/>
      <c r="C80" s="52"/>
      <c r="D80" s="52"/>
      <c r="E80" s="109"/>
      <c r="F80" s="52"/>
      <c r="G80" s="52"/>
      <c r="H80" s="52"/>
      <c r="I80" s="52"/>
      <c r="J80" s="52"/>
      <c r="K80" s="52"/>
      <c r="L80" s="52"/>
      <c r="M80" s="52"/>
      <c r="N80" s="52"/>
      <c r="O80" s="52"/>
      <c r="Q80" s="400"/>
      <c r="R80" s="401"/>
      <c r="S80" s="401"/>
      <c r="T80" s="52"/>
    </row>
    <row r="81" spans="1:22" hidden="1" outlineLevel="1" x14ac:dyDescent="0.2">
      <c r="A81" s="34"/>
      <c r="B81" s="52"/>
      <c r="C81" s="52"/>
      <c r="D81" s="52"/>
      <c r="E81" s="109"/>
      <c r="F81" s="52"/>
      <c r="G81" s="52"/>
      <c r="H81" s="52"/>
      <c r="I81" s="52"/>
      <c r="J81" s="52"/>
      <c r="K81" s="52"/>
      <c r="L81" s="52"/>
      <c r="M81" s="52"/>
      <c r="N81" s="52"/>
      <c r="O81" s="52"/>
      <c r="Q81" s="400"/>
      <c r="R81" s="401"/>
      <c r="S81" s="401"/>
      <c r="T81" s="52"/>
    </row>
    <row r="82" spans="1:22" hidden="1" outlineLevel="1" x14ac:dyDescent="0.2">
      <c r="A82" s="34"/>
      <c r="B82" s="52"/>
      <c r="C82" s="52"/>
      <c r="D82" s="52"/>
      <c r="E82" s="109"/>
      <c r="F82" s="52"/>
      <c r="G82" s="52"/>
      <c r="H82" s="52"/>
      <c r="I82" s="52"/>
      <c r="J82" s="52"/>
      <c r="K82" s="52"/>
      <c r="L82" s="52"/>
      <c r="M82" s="52"/>
      <c r="N82" s="52"/>
      <c r="O82" s="52"/>
      <c r="Q82" s="400"/>
      <c r="R82" s="401"/>
      <c r="S82" s="401"/>
      <c r="T82" s="52"/>
    </row>
    <row r="83" spans="1:22" collapsed="1" x14ac:dyDescent="0.2">
      <c r="A83" s="55" t="s">
        <v>347</v>
      </c>
      <c r="B83" s="52">
        <v>0</v>
      </c>
      <c r="C83" s="52">
        <f>17812283+3378151+6668579+3430424+3432133+25830+36242+1585601</f>
        <v>36369243</v>
      </c>
      <c r="D83" s="52">
        <v>0</v>
      </c>
      <c r="E83" s="109">
        <v>0</v>
      </c>
      <c r="F83" s="52">
        <v>0</v>
      </c>
      <c r="G83" s="52">
        <v>0</v>
      </c>
      <c r="H83" s="52">
        <v>0</v>
      </c>
      <c r="I83" s="52">
        <v>0</v>
      </c>
      <c r="J83" s="52">
        <v>0</v>
      </c>
      <c r="K83" s="52">
        <v>0</v>
      </c>
      <c r="L83" s="52">
        <v>0</v>
      </c>
      <c r="M83" s="52">
        <v>0</v>
      </c>
      <c r="N83" s="52">
        <v>0</v>
      </c>
      <c r="O83" s="52">
        <v>0</v>
      </c>
      <c r="P83" s="251">
        <f>SUM(B83:O83)</f>
        <v>36369243</v>
      </c>
      <c r="Q83" s="396" t="s">
        <v>1229</v>
      </c>
      <c r="R83" s="57">
        <f>'Consol 2017 Adj'!$D$25</f>
        <v>27417477</v>
      </c>
      <c r="S83" s="401"/>
      <c r="T83" s="52">
        <f>P83+R83-S83+R84-S84+R85-S85+R86-S86</f>
        <v>63786720</v>
      </c>
      <c r="V83" s="251">
        <v>63787</v>
      </c>
    </row>
    <row r="84" spans="1:22" hidden="1" outlineLevel="1" x14ac:dyDescent="0.2">
      <c r="A84" s="55"/>
      <c r="B84" s="52"/>
      <c r="C84" s="52"/>
      <c r="D84" s="52"/>
      <c r="E84" s="109"/>
      <c r="F84" s="52"/>
      <c r="G84" s="52"/>
      <c r="H84" s="52"/>
      <c r="I84" s="52"/>
      <c r="J84" s="52"/>
      <c r="K84" s="52"/>
      <c r="L84" s="52"/>
      <c r="M84" s="52"/>
      <c r="N84" s="52"/>
      <c r="O84" s="52"/>
      <c r="Q84" s="400"/>
      <c r="R84" s="401"/>
      <c r="S84" s="401"/>
      <c r="T84" s="52"/>
    </row>
    <row r="85" spans="1:22" hidden="1" outlineLevel="1" x14ac:dyDescent="0.2">
      <c r="A85" s="55"/>
      <c r="B85" s="52"/>
      <c r="C85" s="52"/>
      <c r="D85" s="52"/>
      <c r="E85" s="109"/>
      <c r="F85" s="52"/>
      <c r="G85" s="52"/>
      <c r="H85" s="52"/>
      <c r="I85" s="52"/>
      <c r="J85" s="52"/>
      <c r="K85" s="52"/>
      <c r="L85" s="52"/>
      <c r="M85" s="52"/>
      <c r="N85" s="52"/>
      <c r="O85" s="52"/>
      <c r="Q85" s="400"/>
      <c r="R85" s="401"/>
      <c r="S85" s="401"/>
      <c r="T85" s="52"/>
    </row>
    <row r="86" spans="1:22" hidden="1" outlineLevel="1" x14ac:dyDescent="0.2">
      <c r="A86" s="55"/>
      <c r="B86" s="52"/>
      <c r="C86" s="52"/>
      <c r="D86" s="52"/>
      <c r="E86" s="109"/>
      <c r="F86" s="52"/>
      <c r="G86" s="52"/>
      <c r="H86" s="52"/>
      <c r="I86" s="52"/>
      <c r="J86" s="52"/>
      <c r="K86" s="52"/>
      <c r="L86" s="52"/>
      <c r="M86" s="52"/>
      <c r="N86" s="52"/>
      <c r="O86" s="52"/>
      <c r="Q86" s="400"/>
      <c r="R86" s="401"/>
      <c r="S86" s="401"/>
      <c r="T86" s="52"/>
    </row>
    <row r="87" spans="1:22" collapsed="1" x14ac:dyDescent="0.2">
      <c r="A87" s="55" t="s">
        <v>350</v>
      </c>
      <c r="B87" s="52">
        <v>0</v>
      </c>
      <c r="C87" s="52">
        <v>0</v>
      </c>
      <c r="D87" s="52">
        <v>0</v>
      </c>
      <c r="E87" s="109">
        <v>0</v>
      </c>
      <c r="F87" s="52">
        <v>0</v>
      </c>
      <c r="G87" s="52">
        <v>0</v>
      </c>
      <c r="H87" s="52">
        <v>0</v>
      </c>
      <c r="I87" s="52">
        <v>0</v>
      </c>
      <c r="J87" s="52">
        <v>0</v>
      </c>
      <c r="K87" s="52">
        <v>0</v>
      </c>
      <c r="L87" s="52">
        <v>0</v>
      </c>
      <c r="M87" s="52">
        <v>0</v>
      </c>
      <c r="N87" s="52">
        <v>0</v>
      </c>
      <c r="O87" s="52">
        <v>0</v>
      </c>
      <c r="P87" s="31">
        <f>SUM(B87:O87)</f>
        <v>0</v>
      </c>
      <c r="Q87" s="396">
        <v>1</v>
      </c>
      <c r="R87" s="57">
        <f>'Consol 2017 Adj'!$D$24</f>
        <v>436809</v>
      </c>
      <c r="S87" s="57"/>
      <c r="T87" s="52">
        <f>P87+R87-S87+R88-S88</f>
        <v>0</v>
      </c>
      <c r="V87" s="75">
        <v>0</v>
      </c>
    </row>
    <row r="88" spans="1:22" hidden="1" outlineLevel="1" x14ac:dyDescent="0.2">
      <c r="A88" s="55"/>
      <c r="B88" s="52"/>
      <c r="C88" s="52"/>
      <c r="D88" s="52"/>
      <c r="E88" s="109"/>
      <c r="F88" s="52"/>
      <c r="G88" s="52"/>
      <c r="H88" s="52"/>
      <c r="I88" s="52"/>
      <c r="J88" s="52"/>
      <c r="K88" s="52"/>
      <c r="L88" s="52"/>
      <c r="M88" s="52"/>
      <c r="N88" s="52"/>
      <c r="O88" s="52"/>
      <c r="Q88" s="396">
        <v>9</v>
      </c>
      <c r="R88" s="57"/>
      <c r="S88" s="57">
        <f>'Consol 2017 Adj'!$E$139</f>
        <v>436809</v>
      </c>
      <c r="T88" s="52"/>
      <c r="V88" s="75"/>
    </row>
    <row r="89" spans="1:22" collapsed="1" x14ac:dyDescent="0.2">
      <c r="A89" s="55" t="s">
        <v>1219</v>
      </c>
      <c r="B89" s="52"/>
      <c r="C89" s="52">
        <f>518068</f>
        <v>518068</v>
      </c>
      <c r="D89" s="52"/>
      <c r="E89" s="109"/>
      <c r="F89" s="52"/>
      <c r="G89" s="52"/>
      <c r="H89" s="52"/>
      <c r="I89" s="52"/>
      <c r="J89" s="52"/>
      <c r="K89" s="52"/>
      <c r="L89" s="52"/>
      <c r="M89" s="52"/>
      <c r="N89" s="52"/>
      <c r="O89" s="52"/>
      <c r="P89" s="31">
        <f>SUM(B89:O89)</f>
        <v>518068</v>
      </c>
      <c r="Q89" s="400"/>
      <c r="R89" s="401"/>
      <c r="S89" s="401"/>
      <c r="T89" s="52">
        <f>P89+R89-S89</f>
        <v>518068</v>
      </c>
      <c r="V89" s="75">
        <v>518</v>
      </c>
    </row>
    <row r="90" spans="1:22" hidden="1" outlineLevel="1" x14ac:dyDescent="0.2">
      <c r="A90" s="34"/>
      <c r="B90" s="52"/>
      <c r="C90" s="52"/>
      <c r="D90" s="52"/>
      <c r="E90" s="109"/>
      <c r="F90" s="52"/>
      <c r="G90" s="52"/>
      <c r="H90" s="52"/>
      <c r="I90" s="52"/>
      <c r="J90" s="52"/>
      <c r="K90" s="52"/>
      <c r="L90" s="52"/>
      <c r="M90" s="52"/>
      <c r="N90" s="52"/>
      <c r="O90" s="52"/>
      <c r="Q90" s="400"/>
      <c r="R90" s="401"/>
      <c r="S90" s="401">
        <f>'Conso C adjs'!G149</f>
        <v>0</v>
      </c>
      <c r="T90" s="52"/>
    </row>
    <row r="91" spans="1:22" collapsed="1" x14ac:dyDescent="0.2">
      <c r="B91" s="230">
        <f>SUM(B8:B90)</f>
        <v>38969839</v>
      </c>
      <c r="C91" s="230">
        <f>SUM(C8:C90)</f>
        <v>37339236</v>
      </c>
      <c r="D91" s="230">
        <f t="shared" ref="D91:O91" si="0">SUM(D8:D90)</f>
        <v>3522599</v>
      </c>
      <c r="E91" s="370">
        <f t="shared" si="0"/>
        <v>0</v>
      </c>
      <c r="F91" s="230">
        <f t="shared" si="0"/>
        <v>839253</v>
      </c>
      <c r="G91" s="230">
        <f t="shared" si="0"/>
        <v>1250537</v>
      </c>
      <c r="H91" s="230">
        <f t="shared" si="0"/>
        <v>1939929</v>
      </c>
      <c r="I91" s="230">
        <f t="shared" si="0"/>
        <v>0</v>
      </c>
      <c r="J91" s="230">
        <f t="shared" si="0"/>
        <v>0</v>
      </c>
      <c r="K91" s="230">
        <f t="shared" si="0"/>
        <v>29500600</v>
      </c>
      <c r="L91" s="230">
        <f t="shared" si="0"/>
        <v>0</v>
      </c>
      <c r="M91" s="230">
        <f t="shared" si="0"/>
        <v>729634</v>
      </c>
      <c r="N91" s="230">
        <f t="shared" si="0"/>
        <v>0</v>
      </c>
      <c r="O91" s="230">
        <f t="shared" si="0"/>
        <v>0</v>
      </c>
      <c r="P91" s="35">
        <f>SUM(P8:P90)</f>
        <v>114091627</v>
      </c>
      <c r="Q91" s="400"/>
      <c r="R91" s="401"/>
      <c r="S91" s="401"/>
      <c r="T91" s="230">
        <f>SUM(T8:T90)</f>
        <v>134352466</v>
      </c>
      <c r="V91" s="35">
        <f>SUM(V8:V90)</f>
        <v>134352</v>
      </c>
    </row>
    <row r="92" spans="1:22" x14ac:dyDescent="0.2">
      <c r="A92" s="33" t="s">
        <v>40</v>
      </c>
      <c r="B92" s="52"/>
      <c r="C92" s="52"/>
      <c r="D92" s="52"/>
      <c r="E92" s="109"/>
      <c r="F92" s="52"/>
      <c r="G92" s="52"/>
      <c r="H92" s="52"/>
      <c r="I92" s="52"/>
      <c r="J92" s="52"/>
      <c r="K92" s="52"/>
      <c r="L92" s="52"/>
      <c r="M92" s="52"/>
      <c r="N92" s="52"/>
      <c r="O92" s="52"/>
      <c r="Q92" s="400"/>
      <c r="R92" s="401"/>
      <c r="S92" s="401"/>
      <c r="T92" s="52"/>
    </row>
    <row r="93" spans="1:22" x14ac:dyDescent="0.2">
      <c r="A93" s="34" t="s">
        <v>90</v>
      </c>
      <c r="B93" s="52">
        <v>0</v>
      </c>
      <c r="C93" s="52">
        <v>0</v>
      </c>
      <c r="D93" s="52">
        <v>0</v>
      </c>
      <c r="E93" s="109">
        <v>0</v>
      </c>
      <c r="F93" s="52">
        <v>0</v>
      </c>
      <c r="G93" s="52">
        <v>0</v>
      </c>
      <c r="H93" s="52" t="s">
        <v>0</v>
      </c>
      <c r="I93" s="52">
        <v>0</v>
      </c>
      <c r="J93" s="52">
        <v>0</v>
      </c>
      <c r="K93" s="52">
        <v>0</v>
      </c>
      <c r="L93" s="52">
        <v>0</v>
      </c>
      <c r="M93" s="52">
        <v>0</v>
      </c>
      <c r="N93" s="52">
        <v>0</v>
      </c>
      <c r="O93" s="52">
        <v>0</v>
      </c>
      <c r="P93" s="31">
        <f>SUM(B93:O93)</f>
        <v>0</v>
      </c>
      <c r="Q93" s="400"/>
      <c r="R93" s="401"/>
      <c r="S93" s="401"/>
      <c r="T93" s="52">
        <f>P93+R93-S93</f>
        <v>0</v>
      </c>
      <c r="V93" s="31">
        <v>0</v>
      </c>
    </row>
    <row r="94" spans="1:22" x14ac:dyDescent="0.2">
      <c r="A94" s="30" t="s">
        <v>9</v>
      </c>
      <c r="B94" s="52">
        <v>0</v>
      </c>
      <c r="C94" s="52">
        <f>22564918</f>
        <v>22564918</v>
      </c>
      <c r="D94" s="52">
        <v>0</v>
      </c>
      <c r="E94" s="109">
        <v>0</v>
      </c>
      <c r="F94" s="52">
        <v>0</v>
      </c>
      <c r="G94" s="52">
        <v>0</v>
      </c>
      <c r="H94" s="52">
        <f>2990082</f>
        <v>2990082</v>
      </c>
      <c r="I94" s="52">
        <v>0</v>
      </c>
      <c r="J94" s="52">
        <v>0</v>
      </c>
      <c r="K94" s="52">
        <v>0</v>
      </c>
      <c r="L94" s="52">
        <v>0</v>
      </c>
      <c r="M94" s="52">
        <f>2428664</f>
        <v>2428664</v>
      </c>
      <c r="N94" s="52">
        <v>0</v>
      </c>
      <c r="O94" s="52">
        <v>0</v>
      </c>
      <c r="P94" s="31">
        <f t="shared" ref="P94:P113" si="1">SUM(B94:O94)</f>
        <v>27983664</v>
      </c>
      <c r="Q94" s="396" t="s">
        <v>1325</v>
      </c>
      <c r="R94" s="57">
        <f>'Conso C adjs'!$F$36</f>
        <v>2472160</v>
      </c>
      <c r="S94" s="401"/>
      <c r="T94" s="52">
        <f>P94+R94-S94+R95-S95</f>
        <v>30296253</v>
      </c>
      <c r="V94" s="31">
        <v>30296</v>
      </c>
    </row>
    <row r="95" spans="1:22" hidden="1" outlineLevel="1" x14ac:dyDescent="0.2">
      <c r="B95" s="52"/>
      <c r="C95" s="52"/>
      <c r="D95" s="52"/>
      <c r="E95" s="109"/>
      <c r="F95" s="52"/>
      <c r="G95" s="52"/>
      <c r="H95" s="52"/>
      <c r="I95" s="52"/>
      <c r="J95" s="52"/>
      <c r="K95" s="52"/>
      <c r="L95" s="52"/>
      <c r="M95" s="52"/>
      <c r="N95" s="52"/>
      <c r="O95" s="52"/>
      <c r="Q95" s="396" t="s">
        <v>1328</v>
      </c>
      <c r="R95" s="57"/>
      <c r="S95" s="401">
        <f>'Conso C adjs'!$E$44</f>
        <v>159571</v>
      </c>
      <c r="T95" s="52"/>
    </row>
    <row r="96" spans="1:22" collapsed="1" x14ac:dyDescent="0.2">
      <c r="A96" s="30" t="s">
        <v>10</v>
      </c>
      <c r="B96" s="52">
        <v>0</v>
      </c>
      <c r="C96" s="52">
        <f>5640+630700</f>
        <v>636340</v>
      </c>
      <c r="D96" s="52">
        <f>602569-602569</f>
        <v>0</v>
      </c>
      <c r="E96" s="109">
        <f>93062-93062</f>
        <v>0</v>
      </c>
      <c r="F96" s="52">
        <f>3581992.08-3581992.08</f>
        <v>0</v>
      </c>
      <c r="G96" s="52">
        <f>-42095+10692</f>
        <v>-31403</v>
      </c>
      <c r="H96" s="57">
        <f>423430-2387443+3775036</f>
        <v>1811023</v>
      </c>
      <c r="I96" s="52">
        <v>0</v>
      </c>
      <c r="J96" s="52">
        <f>37718</f>
        <v>37718</v>
      </c>
      <c r="K96" s="52">
        <v>0</v>
      </c>
      <c r="L96" s="52">
        <v>0</v>
      </c>
      <c r="M96" s="52">
        <f>-121597+1107978</f>
        <v>986381</v>
      </c>
      <c r="N96" s="52">
        <v>0</v>
      </c>
      <c r="O96" s="52">
        <v>0</v>
      </c>
      <c r="P96" s="31">
        <f t="shared" si="1"/>
        <v>3440059</v>
      </c>
      <c r="Q96" s="400"/>
      <c r="R96" s="401"/>
      <c r="S96" s="401">
        <f>'Conso C adjs'!G160</f>
        <v>0</v>
      </c>
      <c r="T96" s="52">
        <f>P96+R96-S96</f>
        <v>3440059</v>
      </c>
      <c r="V96" s="358">
        <v>3440</v>
      </c>
    </row>
    <row r="97" spans="1:23" x14ac:dyDescent="0.2">
      <c r="A97" s="30" t="s">
        <v>11</v>
      </c>
      <c r="B97" s="52">
        <f>77208</f>
        <v>77208</v>
      </c>
      <c r="C97" s="52">
        <f>1965721+904-47</f>
        <v>1966578</v>
      </c>
      <c r="D97" s="52">
        <f>1700+1000+371000</f>
        <v>373700</v>
      </c>
      <c r="E97" s="109">
        <v>0</v>
      </c>
      <c r="F97" s="52">
        <f>34829</f>
        <v>34829</v>
      </c>
      <c r="G97" s="52">
        <f>38920+187151+47918+1043</f>
        <v>275032</v>
      </c>
      <c r="H97" s="52">
        <f>4394+7793244-7643277+2939+289</f>
        <v>157589</v>
      </c>
      <c r="I97" s="52">
        <v>0</v>
      </c>
      <c r="J97" s="52">
        <v>2400</v>
      </c>
      <c r="K97" s="52">
        <v>0</v>
      </c>
      <c r="L97" s="52">
        <v>0</v>
      </c>
      <c r="M97" s="52">
        <f>43300+379632+1371+73+4035</f>
        <v>428411</v>
      </c>
      <c r="N97" s="52">
        <v>0</v>
      </c>
      <c r="O97" s="52">
        <v>0</v>
      </c>
      <c r="P97" s="31">
        <f t="shared" si="1"/>
        <v>3315747</v>
      </c>
      <c r="Q97" s="400" t="s">
        <v>1323</v>
      </c>
      <c r="R97" s="401">
        <f>'Conso C adjs'!$F$9</f>
        <v>10000</v>
      </c>
      <c r="S97" s="401"/>
      <c r="T97" s="52">
        <f>P97+R97+R98+R99+R100+R101-S97-S98-S99-S100-S101-U97+R102-S102</f>
        <v>3322946</v>
      </c>
      <c r="V97" s="100">
        <v>3323</v>
      </c>
    </row>
    <row r="98" spans="1:23" hidden="1" outlineLevel="1" x14ac:dyDescent="0.2">
      <c r="B98" s="52"/>
      <c r="C98" s="52"/>
      <c r="D98" s="52"/>
      <c r="E98" s="109"/>
      <c r="F98" s="52"/>
      <c r="G98" s="52"/>
      <c r="H98" s="52"/>
      <c r="I98" s="52"/>
      <c r="J98" s="52"/>
      <c r="K98" s="52"/>
      <c r="L98" s="52"/>
      <c r="M98" s="52"/>
      <c r="N98" s="52"/>
      <c r="O98" s="52"/>
      <c r="Q98" s="400" t="s">
        <v>1323</v>
      </c>
      <c r="R98" s="401"/>
      <c r="S98" s="401">
        <f>'Conso C adjs'!$G$10</f>
        <v>2801</v>
      </c>
      <c r="T98" s="52"/>
    </row>
    <row r="99" spans="1:23" hidden="1" outlineLevel="1" x14ac:dyDescent="0.2">
      <c r="B99" s="52"/>
      <c r="C99" s="52"/>
      <c r="D99" s="52"/>
      <c r="E99" s="109"/>
      <c r="F99" s="52"/>
      <c r="G99" s="52"/>
      <c r="H99" s="52"/>
      <c r="I99" s="52"/>
      <c r="J99" s="52"/>
      <c r="K99" s="52"/>
      <c r="L99" s="52"/>
      <c r="M99" s="52"/>
      <c r="N99" s="52"/>
      <c r="O99" s="52"/>
      <c r="Q99" s="400"/>
      <c r="R99" s="401"/>
      <c r="S99" s="401"/>
      <c r="T99" s="52"/>
    </row>
    <row r="100" spans="1:23" hidden="1" outlineLevel="1" x14ac:dyDescent="0.2">
      <c r="B100" s="52"/>
      <c r="C100" s="52"/>
      <c r="D100" s="52"/>
      <c r="E100" s="109"/>
      <c r="F100" s="52"/>
      <c r="G100" s="52"/>
      <c r="H100" s="52"/>
      <c r="I100" s="52"/>
      <c r="J100" s="52"/>
      <c r="K100" s="52"/>
      <c r="L100" s="52"/>
      <c r="M100" s="52"/>
      <c r="N100" s="52"/>
      <c r="O100" s="52"/>
      <c r="Q100" s="400"/>
      <c r="R100" s="401"/>
      <c r="S100" s="401"/>
      <c r="T100" s="52"/>
    </row>
    <row r="101" spans="1:23" hidden="1" outlineLevel="1" x14ac:dyDescent="0.2">
      <c r="B101" s="52"/>
      <c r="C101" s="52"/>
      <c r="D101" s="52"/>
      <c r="E101" s="109"/>
      <c r="F101" s="52"/>
      <c r="G101" s="52"/>
      <c r="H101" s="52"/>
      <c r="I101" s="52"/>
      <c r="J101" s="52"/>
      <c r="K101" s="52"/>
      <c r="L101" s="52"/>
      <c r="M101" s="52"/>
      <c r="N101" s="52"/>
      <c r="O101" s="52"/>
      <c r="Q101" s="400"/>
      <c r="R101" s="401"/>
      <c r="S101" s="401"/>
      <c r="T101" s="52"/>
    </row>
    <row r="102" spans="1:23" hidden="1" outlineLevel="1" x14ac:dyDescent="0.2">
      <c r="B102" s="52"/>
      <c r="C102" s="52"/>
      <c r="D102" s="52"/>
      <c r="E102" s="109"/>
      <c r="F102" s="52"/>
      <c r="G102" s="52"/>
      <c r="H102" s="52"/>
      <c r="I102" s="52"/>
      <c r="J102" s="52"/>
      <c r="K102" s="52"/>
      <c r="L102" s="52"/>
      <c r="M102" s="52"/>
      <c r="N102" s="52"/>
      <c r="O102" s="52"/>
      <c r="Q102" s="400"/>
      <c r="R102" s="401"/>
      <c r="S102" s="401"/>
      <c r="T102" s="52"/>
    </row>
    <row r="103" spans="1:23" collapsed="1" x14ac:dyDescent="0.2">
      <c r="A103" s="64" t="s">
        <v>829</v>
      </c>
      <c r="B103" s="52">
        <v>0</v>
      </c>
      <c r="C103" s="52">
        <v>0</v>
      </c>
      <c r="D103" s="52"/>
      <c r="E103" s="109"/>
      <c r="F103" s="52"/>
      <c r="G103" s="52"/>
      <c r="H103" s="52">
        <v>0</v>
      </c>
      <c r="I103" s="52"/>
      <c r="J103" s="52"/>
      <c r="K103" s="52"/>
      <c r="L103" s="52"/>
      <c r="M103" s="52"/>
      <c r="N103" s="52"/>
      <c r="O103" s="52"/>
      <c r="P103" s="31">
        <f t="shared" si="1"/>
        <v>0</v>
      </c>
      <c r="Q103" s="400"/>
      <c r="R103" s="401"/>
      <c r="S103" s="401"/>
      <c r="T103" s="52">
        <f>P103+R103-S103</f>
        <v>0</v>
      </c>
    </row>
    <row r="104" spans="1:23" hidden="1" outlineLevel="1" x14ac:dyDescent="0.2">
      <c r="A104" s="34" t="s">
        <v>36</v>
      </c>
      <c r="B104" s="52">
        <v>0</v>
      </c>
      <c r="C104" s="52">
        <v>0</v>
      </c>
      <c r="D104" s="52">
        <v>0</v>
      </c>
      <c r="E104" s="109">
        <v>0</v>
      </c>
      <c r="F104" s="52">
        <v>0</v>
      </c>
      <c r="G104" s="52">
        <v>0</v>
      </c>
      <c r="H104" s="52">
        <v>0</v>
      </c>
      <c r="I104" s="52">
        <v>0</v>
      </c>
      <c r="J104" s="52">
        <v>0</v>
      </c>
      <c r="K104" s="52">
        <v>0</v>
      </c>
      <c r="L104" s="52">
        <v>0</v>
      </c>
      <c r="M104" s="52">
        <v>0</v>
      </c>
      <c r="N104" s="52">
        <v>0</v>
      </c>
      <c r="O104" s="52">
        <v>0</v>
      </c>
      <c r="P104" s="31">
        <f t="shared" si="1"/>
        <v>0</v>
      </c>
      <c r="Q104" s="400"/>
      <c r="R104" s="401"/>
      <c r="S104" s="401"/>
      <c r="T104" s="52">
        <f>P104+R104-S104</f>
        <v>0</v>
      </c>
      <c r="V104" s="31">
        <v>0</v>
      </c>
    </row>
    <row r="105" spans="1:23" collapsed="1" x14ac:dyDescent="0.2">
      <c r="A105" s="30" t="s">
        <v>32</v>
      </c>
      <c r="B105" s="52">
        <v>0</v>
      </c>
      <c r="C105" s="52">
        <v>0</v>
      </c>
      <c r="D105" s="52">
        <v>0</v>
      </c>
      <c r="E105" s="109">
        <v>0</v>
      </c>
      <c r="F105" s="52">
        <f>5278</f>
        <v>5278</v>
      </c>
      <c r="G105" s="52">
        <v>0</v>
      </c>
      <c r="H105" s="52">
        <f>35710</f>
        <v>35710</v>
      </c>
      <c r="I105" s="52">
        <v>0</v>
      </c>
      <c r="J105" s="52">
        <v>0</v>
      </c>
      <c r="K105" s="52">
        <v>0</v>
      </c>
      <c r="L105" s="52">
        <v>0</v>
      </c>
      <c r="M105" s="52">
        <v>0</v>
      </c>
      <c r="N105" s="52">
        <v>0</v>
      </c>
      <c r="O105" s="52">
        <v>0</v>
      </c>
      <c r="P105" s="31">
        <f t="shared" si="1"/>
        <v>40988</v>
      </c>
      <c r="Q105" s="396">
        <v>6</v>
      </c>
      <c r="R105" s="401"/>
      <c r="S105" s="57">
        <f>'Consol 2017 Adj'!$E$83</f>
        <v>840</v>
      </c>
      <c r="T105" s="52">
        <f>P105+R105+R106-S106-S105</f>
        <v>40148</v>
      </c>
      <c r="U105" s="30">
        <v>7</v>
      </c>
      <c r="V105" s="31">
        <v>40</v>
      </c>
      <c r="W105" s="64"/>
    </row>
    <row r="106" spans="1:23" x14ac:dyDescent="0.2">
      <c r="B106" s="52"/>
      <c r="C106" s="52"/>
      <c r="D106" s="52"/>
      <c r="E106" s="109"/>
      <c r="F106" s="52"/>
      <c r="G106" s="52"/>
      <c r="H106" s="52"/>
      <c r="I106" s="52"/>
      <c r="J106" s="52"/>
      <c r="K106" s="52"/>
      <c r="L106" s="52"/>
      <c r="M106" s="52"/>
      <c r="N106" s="52"/>
      <c r="O106" s="52"/>
      <c r="Q106" s="400"/>
      <c r="R106" s="401"/>
      <c r="S106" s="401"/>
      <c r="T106" s="52"/>
    </row>
    <row r="107" spans="1:23" collapsed="1" x14ac:dyDescent="0.2">
      <c r="A107" s="30" t="s">
        <v>110</v>
      </c>
      <c r="B107" s="52">
        <v>0</v>
      </c>
      <c r="C107" s="52">
        <v>0</v>
      </c>
      <c r="D107" s="52">
        <v>0</v>
      </c>
      <c r="E107" s="109">
        <v>0</v>
      </c>
      <c r="F107" s="52">
        <v>0</v>
      </c>
      <c r="G107" s="52">
        <v>0</v>
      </c>
      <c r="H107" s="52">
        <v>0</v>
      </c>
      <c r="I107" s="52">
        <v>0</v>
      </c>
      <c r="J107" s="52">
        <v>0</v>
      </c>
      <c r="K107" s="52">
        <v>0</v>
      </c>
      <c r="L107" s="52">
        <v>0</v>
      </c>
      <c r="M107" s="52">
        <v>0</v>
      </c>
      <c r="N107" s="52">
        <v>0</v>
      </c>
      <c r="O107" s="52">
        <v>0</v>
      </c>
      <c r="P107" s="31">
        <f t="shared" si="1"/>
        <v>0</v>
      </c>
      <c r="Q107" s="400"/>
      <c r="R107" s="401"/>
      <c r="S107" s="401"/>
      <c r="T107" s="52">
        <f>P107+R107-S107</f>
        <v>0</v>
      </c>
      <c r="V107" s="31">
        <v>0</v>
      </c>
    </row>
    <row r="108" spans="1:23" x14ac:dyDescent="0.2">
      <c r="A108" s="30" t="s">
        <v>16</v>
      </c>
      <c r="B108" s="52">
        <f>71296</f>
        <v>71296</v>
      </c>
      <c r="C108" s="52">
        <f>-163314+1998118</f>
        <v>1834804</v>
      </c>
      <c r="D108" s="52">
        <f>38990</f>
        <v>38990</v>
      </c>
      <c r="E108" s="109">
        <v>0</v>
      </c>
      <c r="F108" s="52">
        <f>36817</f>
        <v>36817</v>
      </c>
      <c r="G108" s="52">
        <f>140343+3064</f>
        <v>143407</v>
      </c>
      <c r="H108" s="52">
        <f>-10903387+7643277--10967825+9633</f>
        <v>7717348</v>
      </c>
      <c r="I108" s="52">
        <f>228+2</f>
        <v>230</v>
      </c>
      <c r="J108" s="52">
        <f>12655+2</f>
        <v>12657</v>
      </c>
      <c r="K108" s="52">
        <f>2+11973-1</f>
        <v>11974</v>
      </c>
      <c r="L108" s="52">
        <v>0</v>
      </c>
      <c r="M108" s="52">
        <f>85980+8240</f>
        <v>94220</v>
      </c>
      <c r="N108" s="52">
        <v>0</v>
      </c>
      <c r="O108" s="52">
        <v>0</v>
      </c>
      <c r="P108" s="31">
        <f t="shared" si="1"/>
        <v>9961743</v>
      </c>
      <c r="Q108" s="400"/>
      <c r="R108" s="401"/>
      <c r="S108" s="401"/>
      <c r="T108" s="52">
        <f>P108+R108+R109+R110+R111+R112-S112-S111-S110-S109-S108</f>
        <v>9961743</v>
      </c>
      <c r="V108" s="52">
        <v>9962</v>
      </c>
    </row>
    <row r="109" spans="1:23" hidden="1" outlineLevel="1" x14ac:dyDescent="0.2">
      <c r="B109" s="52"/>
      <c r="C109" s="52"/>
      <c r="D109" s="52"/>
      <c r="E109" s="109"/>
      <c r="F109" s="52"/>
      <c r="G109" s="52"/>
      <c r="H109" s="52"/>
      <c r="I109" s="52"/>
      <c r="J109" s="52"/>
      <c r="K109" s="52"/>
      <c r="L109" s="52"/>
      <c r="M109" s="52"/>
      <c r="N109" s="52"/>
      <c r="O109" s="52"/>
      <c r="Q109" s="400"/>
      <c r="R109" s="401"/>
      <c r="S109" s="401"/>
      <c r="T109" s="52"/>
    </row>
    <row r="110" spans="1:23" hidden="1" outlineLevel="1" x14ac:dyDescent="0.2">
      <c r="B110" s="52"/>
      <c r="C110" s="52"/>
      <c r="D110" s="52"/>
      <c r="E110" s="109"/>
      <c r="F110" s="52"/>
      <c r="G110" s="52"/>
      <c r="H110" s="52"/>
      <c r="I110" s="52"/>
      <c r="J110" s="52"/>
      <c r="K110" s="52"/>
      <c r="L110" s="52"/>
      <c r="M110" s="52"/>
      <c r="N110" s="52"/>
      <c r="O110" s="52"/>
      <c r="Q110" s="400"/>
      <c r="R110" s="401"/>
      <c r="S110" s="401"/>
      <c r="T110" s="52"/>
    </row>
    <row r="111" spans="1:23" hidden="1" outlineLevel="1" x14ac:dyDescent="0.2">
      <c r="B111" s="52"/>
      <c r="C111" s="52"/>
      <c r="D111" s="52"/>
      <c r="E111" s="109"/>
      <c r="F111" s="52"/>
      <c r="G111" s="52"/>
      <c r="H111" s="52"/>
      <c r="I111" s="52"/>
      <c r="J111" s="52"/>
      <c r="K111" s="52"/>
      <c r="L111" s="52"/>
      <c r="M111" s="52"/>
      <c r="N111" s="52"/>
      <c r="O111" s="52"/>
      <c r="Q111" s="400"/>
      <c r="R111" s="401"/>
      <c r="S111" s="401"/>
      <c r="T111" s="52"/>
    </row>
    <row r="112" spans="1:23" hidden="1" outlineLevel="1" x14ac:dyDescent="0.2">
      <c r="B112" s="52"/>
      <c r="C112" s="52"/>
      <c r="D112" s="52"/>
      <c r="E112" s="109"/>
      <c r="F112" s="52"/>
      <c r="G112" s="52"/>
      <c r="H112" s="52"/>
      <c r="I112" s="52"/>
      <c r="J112" s="52"/>
      <c r="K112" s="52"/>
      <c r="L112" s="52"/>
      <c r="M112" s="52"/>
      <c r="N112" s="52"/>
      <c r="O112" s="52"/>
      <c r="Q112" s="400"/>
      <c r="R112" s="401"/>
      <c r="S112" s="401"/>
      <c r="T112" s="52"/>
    </row>
    <row r="113" spans="1:22" collapsed="1" x14ac:dyDescent="0.2">
      <c r="A113" s="64" t="s">
        <v>348</v>
      </c>
      <c r="B113" s="52">
        <v>0</v>
      </c>
      <c r="C113" s="52">
        <f>7058245+8909557+6197876</f>
        <v>22165678</v>
      </c>
      <c r="D113" s="52">
        <v>0</v>
      </c>
      <c r="E113" s="109">
        <v>0</v>
      </c>
      <c r="F113" s="52">
        <v>0</v>
      </c>
      <c r="G113" s="52">
        <v>0</v>
      </c>
      <c r="H113" s="52">
        <v>0</v>
      </c>
      <c r="I113" s="52">
        <v>0</v>
      </c>
      <c r="J113" s="52">
        <v>0</v>
      </c>
      <c r="K113" s="52">
        <v>0</v>
      </c>
      <c r="L113" s="52">
        <v>0</v>
      </c>
      <c r="M113" s="52">
        <v>0</v>
      </c>
      <c r="N113" s="52">
        <v>0</v>
      </c>
      <c r="O113" s="52">
        <v>0</v>
      </c>
      <c r="P113" s="251">
        <f t="shared" si="1"/>
        <v>22165678</v>
      </c>
      <c r="Q113" s="405">
        <v>1</v>
      </c>
      <c r="R113" s="57">
        <f>'Consol 2017 Adj'!$D$26</f>
        <v>20696808</v>
      </c>
      <c r="S113" s="57"/>
      <c r="T113" s="52">
        <f>P113+R113-S113+R114-S114+R115-S115+R116-S116+R118-S118+R117-S117+R119-S119+R120-S120</f>
        <v>36126486</v>
      </c>
      <c r="V113" s="253">
        <v>36126</v>
      </c>
    </row>
    <row r="114" spans="1:22" hidden="1" outlineLevel="1" x14ac:dyDescent="0.2">
      <c r="A114" s="64"/>
      <c r="B114" s="52"/>
      <c r="C114" s="52"/>
      <c r="D114" s="52"/>
      <c r="E114" s="109"/>
      <c r="F114" s="52"/>
      <c r="G114" s="52"/>
      <c r="H114" s="52"/>
      <c r="I114" s="52"/>
      <c r="J114" s="52"/>
      <c r="K114" s="52"/>
      <c r="L114" s="52"/>
      <c r="M114" s="52"/>
      <c r="N114" s="52"/>
      <c r="O114" s="52"/>
      <c r="Q114" s="405">
        <v>10</v>
      </c>
      <c r="R114" s="57"/>
      <c r="S114" s="57">
        <f>'Consol 2017 Adj'!$E$146</f>
        <v>4263840</v>
      </c>
      <c r="T114" s="52"/>
      <c r="V114" s="52"/>
    </row>
    <row r="115" spans="1:22" hidden="1" outlineLevel="1" x14ac:dyDescent="0.2">
      <c r="A115" s="64"/>
      <c r="B115" s="52"/>
      <c r="C115" s="52"/>
      <c r="D115" s="52"/>
      <c r="E115" s="109"/>
      <c r="F115" s="52"/>
      <c r="G115" s="52"/>
      <c r="H115" s="52"/>
      <c r="I115" s="52"/>
      <c r="J115" s="52"/>
      <c r="K115" s="52"/>
      <c r="L115" s="52"/>
      <c r="M115" s="52"/>
      <c r="N115" s="52"/>
      <c r="O115" s="52"/>
      <c r="Q115" s="405" t="s">
        <v>1325</v>
      </c>
      <c r="R115" s="57"/>
      <c r="S115" s="57">
        <f>'Conso C adjs'!$G$37</f>
        <v>2472160</v>
      </c>
      <c r="T115" s="52"/>
      <c r="V115" s="52"/>
    </row>
    <row r="116" spans="1:22" hidden="1" outlineLevel="1" x14ac:dyDescent="0.2">
      <c r="A116" s="64"/>
      <c r="B116" s="52"/>
      <c r="C116" s="52"/>
      <c r="D116" s="52"/>
      <c r="E116" s="109"/>
      <c r="F116" s="52"/>
      <c r="G116" s="52"/>
      <c r="H116" s="52"/>
      <c r="I116" s="52"/>
      <c r="J116" s="52"/>
      <c r="K116" s="52"/>
      <c r="L116" s="52"/>
      <c r="M116" s="52"/>
      <c r="N116" s="52"/>
      <c r="O116" s="52"/>
      <c r="Q116" s="400"/>
      <c r="R116" s="400"/>
      <c r="S116" s="401"/>
      <c r="T116" s="52"/>
      <c r="V116" s="52"/>
    </row>
    <row r="117" spans="1:22" hidden="1" outlineLevel="1" x14ac:dyDescent="0.2">
      <c r="A117" s="64"/>
      <c r="B117" s="52"/>
      <c r="C117" s="52"/>
      <c r="D117" s="52"/>
      <c r="E117" s="109"/>
      <c r="F117" s="52"/>
      <c r="G117" s="52"/>
      <c r="H117" s="52"/>
      <c r="I117" s="52"/>
      <c r="J117" s="52"/>
      <c r="K117" s="52"/>
      <c r="L117" s="52"/>
      <c r="M117" s="52"/>
      <c r="N117" s="52"/>
      <c r="O117" s="52"/>
      <c r="Q117" s="400"/>
      <c r="R117" s="401"/>
      <c r="S117" s="401"/>
      <c r="T117" s="52"/>
      <c r="V117" s="52"/>
    </row>
    <row r="118" spans="1:22" hidden="1" outlineLevel="1" x14ac:dyDescent="0.2">
      <c r="A118" s="64"/>
      <c r="B118" s="52"/>
      <c r="C118" s="52"/>
      <c r="D118" s="52"/>
      <c r="E118" s="109"/>
      <c r="F118" s="52"/>
      <c r="G118" s="52"/>
      <c r="H118" s="52"/>
      <c r="I118" s="52"/>
      <c r="J118" s="52"/>
      <c r="K118" s="52"/>
      <c r="L118" s="52"/>
      <c r="M118" s="52"/>
      <c r="N118" s="52"/>
      <c r="O118" s="52"/>
      <c r="Q118" s="400"/>
      <c r="R118" s="401"/>
      <c r="S118" s="401"/>
      <c r="T118" s="52"/>
      <c r="V118" s="52"/>
    </row>
    <row r="119" spans="1:22" hidden="1" outlineLevel="1" x14ac:dyDescent="0.2">
      <c r="A119" s="64"/>
      <c r="B119" s="52"/>
      <c r="C119" s="52"/>
      <c r="D119" s="52"/>
      <c r="E119" s="109"/>
      <c r="F119" s="52"/>
      <c r="G119" s="52"/>
      <c r="H119" s="52"/>
      <c r="I119" s="52"/>
      <c r="J119" s="52"/>
      <c r="K119" s="52"/>
      <c r="L119" s="52"/>
      <c r="M119" s="52"/>
      <c r="N119" s="52"/>
      <c r="O119" s="52"/>
      <c r="Q119" s="400"/>
      <c r="R119" s="401"/>
      <c r="S119" s="401"/>
      <c r="T119" s="52"/>
      <c r="V119" s="52"/>
    </row>
    <row r="120" spans="1:22" hidden="1" outlineLevel="1" x14ac:dyDescent="0.2">
      <c r="A120" s="64"/>
      <c r="B120" s="52"/>
      <c r="C120" s="52"/>
      <c r="D120" s="52"/>
      <c r="E120" s="109"/>
      <c r="F120" s="52"/>
      <c r="G120" s="52"/>
      <c r="H120" s="52"/>
      <c r="I120" s="52"/>
      <c r="J120" s="52"/>
      <c r="K120" s="52"/>
      <c r="L120" s="52"/>
      <c r="M120" s="52"/>
      <c r="N120" s="52"/>
      <c r="O120" s="52"/>
      <c r="Q120" s="400"/>
      <c r="R120" s="401"/>
      <c r="S120" s="401"/>
      <c r="T120" s="52"/>
      <c r="V120" s="52"/>
    </row>
    <row r="121" spans="1:22" collapsed="1" x14ac:dyDescent="0.2">
      <c r="A121" s="34" t="s">
        <v>65</v>
      </c>
      <c r="B121" s="52">
        <f>94059365</f>
        <v>94059365</v>
      </c>
      <c r="C121" s="52">
        <f>47</f>
        <v>47</v>
      </c>
      <c r="D121" s="52">
        <f>112245-112245</f>
        <v>0</v>
      </c>
      <c r="E121" s="109">
        <v>0</v>
      </c>
      <c r="F121" s="52">
        <v>1667160</v>
      </c>
      <c r="G121" s="52">
        <v>0</v>
      </c>
      <c r="H121" s="52">
        <v>0</v>
      </c>
      <c r="I121" s="52">
        <v>0</v>
      </c>
      <c r="J121" s="52">
        <v>0</v>
      </c>
      <c r="K121" s="52">
        <v>0</v>
      </c>
      <c r="L121" s="52">
        <v>0</v>
      </c>
      <c r="M121" s="52">
        <v>0</v>
      </c>
      <c r="N121" s="52">
        <v>0</v>
      </c>
      <c r="O121" s="52">
        <v>0</v>
      </c>
      <c r="P121" s="31">
        <f>SUM(B121:O121)</f>
        <v>95726572</v>
      </c>
      <c r="Q121" s="396" t="s">
        <v>1323</v>
      </c>
      <c r="R121" s="57"/>
      <c r="S121" s="57">
        <f>'Conso C adjs'!$G$11</f>
        <v>95726572</v>
      </c>
      <c r="T121" s="52">
        <f>P121+R121-S121+U121</f>
        <v>0</v>
      </c>
      <c r="V121" s="31">
        <v>0</v>
      </c>
    </row>
    <row r="122" spans="1:22" x14ac:dyDescent="0.2">
      <c r="A122" s="55" t="s">
        <v>827</v>
      </c>
      <c r="B122" s="52">
        <f>-25428249</f>
        <v>-25428249</v>
      </c>
      <c r="C122" s="52"/>
      <c r="D122" s="52"/>
      <c r="E122" s="109"/>
      <c r="F122" s="52"/>
      <c r="G122" s="52"/>
      <c r="H122" s="52"/>
      <c r="I122" s="52"/>
      <c r="J122" s="52"/>
      <c r="K122" s="52"/>
      <c r="L122" s="52"/>
      <c r="M122" s="52"/>
      <c r="N122" s="52"/>
      <c r="O122" s="52"/>
      <c r="P122" s="31">
        <f>SUM(B122:O122)</f>
        <v>-25428249</v>
      </c>
      <c r="Q122" s="396">
        <v>13</v>
      </c>
      <c r="R122" s="57">
        <f>'Consol 2017 Adj'!$D$164</f>
        <v>25428249</v>
      </c>
      <c r="S122" s="57">
        <f>'Conso C adjs'!G323</f>
        <v>0</v>
      </c>
      <c r="T122" s="52">
        <f>P122+P123+R122-S122+R123-S123+R124-S124</f>
        <v>0</v>
      </c>
    </row>
    <row r="123" spans="1:22" x14ac:dyDescent="0.2">
      <c r="A123" s="55" t="s">
        <v>828</v>
      </c>
      <c r="B123" s="52"/>
      <c r="C123" s="52"/>
      <c r="D123" s="52"/>
      <c r="E123" s="109"/>
      <c r="F123" s="52"/>
      <c r="G123" s="52"/>
      <c r="H123" s="52"/>
      <c r="I123" s="52"/>
      <c r="J123" s="52"/>
      <c r="K123" s="52"/>
      <c r="L123" s="52"/>
      <c r="M123" s="52"/>
      <c r="N123" s="52"/>
      <c r="O123" s="52"/>
      <c r="P123" s="31">
        <f>SUM(B123:O123)</f>
        <v>0</v>
      </c>
      <c r="Q123" s="400"/>
      <c r="R123" s="401"/>
      <c r="S123" s="401"/>
      <c r="T123" s="52"/>
    </row>
    <row r="124" spans="1:22" x14ac:dyDescent="0.2">
      <c r="A124" s="55"/>
      <c r="B124" s="52"/>
      <c r="C124" s="52"/>
      <c r="D124" s="52"/>
      <c r="E124" s="109"/>
      <c r="F124" s="52"/>
      <c r="G124" s="52"/>
      <c r="H124" s="52"/>
      <c r="I124" s="52"/>
      <c r="J124" s="52"/>
      <c r="K124" s="52"/>
      <c r="L124" s="52"/>
      <c r="M124" s="52"/>
      <c r="N124" s="52"/>
      <c r="O124" s="52"/>
      <c r="Q124" s="400"/>
      <c r="R124" s="401"/>
      <c r="S124" s="401"/>
      <c r="T124" s="52"/>
    </row>
    <row r="125" spans="1:22" x14ac:dyDescent="0.2">
      <c r="B125" s="230">
        <f>SUM(B93:B123)</f>
        <v>68779620</v>
      </c>
      <c r="C125" s="230">
        <f t="shared" ref="C125:O125" si="2">SUM(C93:C123)</f>
        <v>49168365</v>
      </c>
      <c r="D125" s="230">
        <f t="shared" si="2"/>
        <v>412690</v>
      </c>
      <c r="E125" s="370">
        <f t="shared" si="2"/>
        <v>0</v>
      </c>
      <c r="F125" s="230">
        <f t="shared" si="2"/>
        <v>1744084</v>
      </c>
      <c r="G125" s="230">
        <f t="shared" si="2"/>
        <v>387036</v>
      </c>
      <c r="H125" s="230">
        <f t="shared" si="2"/>
        <v>12711752</v>
      </c>
      <c r="I125" s="230">
        <f t="shared" si="2"/>
        <v>230</v>
      </c>
      <c r="J125" s="230">
        <f t="shared" si="2"/>
        <v>52775</v>
      </c>
      <c r="K125" s="230">
        <f t="shared" si="2"/>
        <v>11974</v>
      </c>
      <c r="L125" s="230">
        <f t="shared" si="2"/>
        <v>0</v>
      </c>
      <c r="M125" s="230">
        <f t="shared" si="2"/>
        <v>3937676</v>
      </c>
      <c r="N125" s="230">
        <f t="shared" si="2"/>
        <v>0</v>
      </c>
      <c r="O125" s="230">
        <f t="shared" si="2"/>
        <v>0</v>
      </c>
      <c r="P125" s="35">
        <f>SUM(P93:P123)</f>
        <v>137206202</v>
      </c>
      <c r="Q125" s="400"/>
      <c r="R125" s="401"/>
      <c r="S125" s="401"/>
      <c r="T125" s="230">
        <f>SUM(T93:T123)</f>
        <v>83187635</v>
      </c>
      <c r="V125" s="35">
        <f>SUM(V93:V123)</f>
        <v>83187</v>
      </c>
    </row>
    <row r="126" spans="1:22" x14ac:dyDescent="0.2">
      <c r="A126" s="55" t="s">
        <v>91</v>
      </c>
      <c r="B126" s="52"/>
      <c r="C126" s="52"/>
      <c r="D126" s="52"/>
      <c r="E126" s="109"/>
      <c r="F126" s="52"/>
      <c r="G126" s="52"/>
      <c r="H126" s="52"/>
      <c r="I126" s="52"/>
      <c r="J126" s="52"/>
      <c r="K126" s="52"/>
      <c r="L126" s="52"/>
      <c r="M126" s="52"/>
      <c r="N126" s="52"/>
      <c r="O126" s="52"/>
      <c r="Q126" s="400"/>
      <c r="R126" s="401"/>
      <c r="S126" s="401"/>
      <c r="T126" s="52"/>
    </row>
    <row r="127" spans="1:22" x14ac:dyDescent="0.2">
      <c r="A127" s="34" t="s">
        <v>92</v>
      </c>
      <c r="B127" s="209">
        <v>0</v>
      </c>
      <c r="C127" s="209">
        <v>0</v>
      </c>
      <c r="D127" s="209">
        <v>0</v>
      </c>
      <c r="E127" s="369">
        <v>0</v>
      </c>
      <c r="F127" s="209">
        <v>0</v>
      </c>
      <c r="G127" s="209">
        <v>0</v>
      </c>
      <c r="H127" s="209">
        <v>0</v>
      </c>
      <c r="I127" s="209">
        <v>0</v>
      </c>
      <c r="J127" s="209">
        <v>0</v>
      </c>
      <c r="K127" s="52">
        <v>0</v>
      </c>
      <c r="L127" s="52"/>
      <c r="M127" s="52">
        <v>0</v>
      </c>
      <c r="N127" s="52">
        <v>0</v>
      </c>
      <c r="O127" s="52">
        <v>0</v>
      </c>
      <c r="P127" s="31">
        <f>SUM(B127:O127)</f>
        <v>0</v>
      </c>
      <c r="Q127" s="400"/>
      <c r="R127" s="401"/>
      <c r="S127" s="401"/>
      <c r="T127" s="52">
        <f>P127+R127+R128+R129+R130+R131-S131-S130-S129-S128-S127</f>
        <v>0</v>
      </c>
      <c r="V127" s="31">
        <v>0</v>
      </c>
    </row>
    <row r="128" spans="1:22" x14ac:dyDescent="0.2">
      <c r="A128" s="34"/>
      <c r="B128" s="52"/>
      <c r="C128" s="52"/>
      <c r="D128" s="52"/>
      <c r="E128" s="109"/>
      <c r="F128" s="52"/>
      <c r="G128" s="52"/>
      <c r="H128" s="52"/>
      <c r="I128" s="52"/>
      <c r="J128" s="52"/>
      <c r="K128" s="52"/>
      <c r="L128" s="52"/>
      <c r="M128" s="52"/>
      <c r="N128" s="52"/>
      <c r="O128" s="52"/>
      <c r="Q128" s="400"/>
      <c r="R128" s="401"/>
      <c r="S128" s="401"/>
      <c r="T128" s="52"/>
    </row>
    <row r="129" spans="1:29" x14ac:dyDescent="0.2">
      <c r="A129" s="34"/>
      <c r="B129" s="52"/>
      <c r="C129" s="52"/>
      <c r="D129" s="52"/>
      <c r="E129" s="109"/>
      <c r="F129" s="52"/>
      <c r="G129" s="52"/>
      <c r="H129" s="52"/>
      <c r="I129" s="52"/>
      <c r="J129" s="52"/>
      <c r="K129" s="52"/>
      <c r="L129" s="52"/>
      <c r="M129" s="52"/>
      <c r="N129" s="52"/>
      <c r="O129" s="52"/>
      <c r="Q129" s="400"/>
      <c r="R129" s="401"/>
      <c r="S129" s="401"/>
      <c r="T129" s="52"/>
    </row>
    <row r="130" spans="1:29" x14ac:dyDescent="0.2">
      <c r="A130" s="34"/>
      <c r="B130" s="52"/>
      <c r="C130" s="52"/>
      <c r="D130" s="52"/>
      <c r="E130" s="109"/>
      <c r="F130" s="52"/>
      <c r="G130" s="52"/>
      <c r="H130" s="52"/>
      <c r="I130" s="52"/>
      <c r="J130" s="52"/>
      <c r="K130" s="52"/>
      <c r="L130" s="52"/>
      <c r="M130" s="52"/>
      <c r="N130" s="52"/>
      <c r="O130" s="52"/>
      <c r="Q130" s="400"/>
      <c r="R130" s="401"/>
      <c r="S130" s="401"/>
      <c r="T130" s="52"/>
    </row>
    <row r="131" spans="1:29" x14ac:dyDescent="0.2">
      <c r="A131" s="34"/>
      <c r="B131" s="52"/>
      <c r="C131" s="52"/>
      <c r="D131" s="52"/>
      <c r="E131" s="109"/>
      <c r="F131" s="52"/>
      <c r="G131" s="52"/>
      <c r="H131" s="52"/>
      <c r="I131" s="52"/>
      <c r="J131" s="52"/>
      <c r="K131" s="52"/>
      <c r="L131" s="52"/>
      <c r="M131" s="52"/>
      <c r="N131" s="52"/>
      <c r="O131" s="52"/>
      <c r="Q131" s="400"/>
      <c r="R131" s="401"/>
      <c r="S131" s="401"/>
      <c r="T131" s="52"/>
    </row>
    <row r="132" spans="1:29" x14ac:dyDescent="0.2">
      <c r="A132" s="34"/>
      <c r="B132" s="209"/>
      <c r="C132" s="209"/>
      <c r="D132" s="209"/>
      <c r="E132" s="369"/>
      <c r="F132" s="209"/>
      <c r="G132" s="209"/>
      <c r="H132" s="209"/>
      <c r="I132" s="209"/>
      <c r="J132" s="209"/>
      <c r="K132" s="52"/>
      <c r="L132" s="52"/>
      <c r="M132" s="52"/>
      <c r="N132" s="52"/>
      <c r="O132" s="52"/>
      <c r="Q132" s="400"/>
      <c r="R132" s="401"/>
      <c r="S132" s="401"/>
      <c r="T132" s="52"/>
    </row>
    <row r="133" spans="1:29" x14ac:dyDescent="0.2">
      <c r="A133" s="34"/>
      <c r="B133" s="230">
        <f>B125+B127</f>
        <v>68779620</v>
      </c>
      <c r="C133" s="230">
        <f t="shared" ref="C133:J133" si="3">C125+C127</f>
        <v>49168365</v>
      </c>
      <c r="D133" s="230">
        <f t="shared" si="3"/>
        <v>412690</v>
      </c>
      <c r="E133" s="370">
        <f t="shared" si="3"/>
        <v>0</v>
      </c>
      <c r="F133" s="230">
        <f t="shared" si="3"/>
        <v>1744084</v>
      </c>
      <c r="G133" s="230">
        <f t="shared" si="3"/>
        <v>387036</v>
      </c>
      <c r="H133" s="230">
        <f t="shared" si="3"/>
        <v>12711752</v>
      </c>
      <c r="I133" s="230">
        <f t="shared" si="3"/>
        <v>230</v>
      </c>
      <c r="J133" s="230">
        <f t="shared" si="3"/>
        <v>52775</v>
      </c>
      <c r="K133" s="230">
        <f t="shared" ref="K133:P133" si="4">K125+K127</f>
        <v>11974</v>
      </c>
      <c r="L133" s="230">
        <f t="shared" si="4"/>
        <v>0</v>
      </c>
      <c r="M133" s="230">
        <f t="shared" si="4"/>
        <v>3937676</v>
      </c>
      <c r="N133" s="230">
        <f t="shared" si="4"/>
        <v>0</v>
      </c>
      <c r="O133" s="230">
        <f t="shared" si="4"/>
        <v>0</v>
      </c>
      <c r="P133" s="35">
        <f t="shared" si="4"/>
        <v>137206202</v>
      </c>
      <c r="Q133" s="400"/>
      <c r="R133" s="401"/>
      <c r="S133" s="401"/>
      <c r="T133" s="35">
        <f>T125+T127</f>
        <v>83187635</v>
      </c>
      <c r="V133" s="35">
        <f>V125+V127</f>
        <v>83187</v>
      </c>
    </row>
    <row r="134" spans="1:29" ht="12" thickBot="1" x14ac:dyDescent="0.25">
      <c r="A134" s="33" t="s">
        <v>38</v>
      </c>
      <c r="B134" s="388">
        <f t="shared" ref="B134:P134" si="5">B91+B133</f>
        <v>107749459</v>
      </c>
      <c r="C134" s="388">
        <f t="shared" si="5"/>
        <v>86507601</v>
      </c>
      <c r="D134" s="388">
        <f t="shared" si="5"/>
        <v>3935289</v>
      </c>
      <c r="E134" s="384">
        <f t="shared" si="5"/>
        <v>0</v>
      </c>
      <c r="F134" s="388">
        <f t="shared" si="5"/>
        <v>2583337</v>
      </c>
      <c r="G134" s="388">
        <f t="shared" si="5"/>
        <v>1637573</v>
      </c>
      <c r="H134" s="388">
        <f t="shared" si="5"/>
        <v>14651681</v>
      </c>
      <c r="I134" s="388">
        <f t="shared" si="5"/>
        <v>230</v>
      </c>
      <c r="J134" s="388">
        <f t="shared" si="5"/>
        <v>52775</v>
      </c>
      <c r="K134" s="388">
        <f t="shared" si="5"/>
        <v>29512574</v>
      </c>
      <c r="L134" s="388">
        <f t="shared" si="5"/>
        <v>0</v>
      </c>
      <c r="M134" s="388">
        <f t="shared" si="5"/>
        <v>4667310</v>
      </c>
      <c r="N134" s="388">
        <f t="shared" si="5"/>
        <v>0</v>
      </c>
      <c r="O134" s="388">
        <f t="shared" si="5"/>
        <v>0</v>
      </c>
      <c r="P134" s="37">
        <f t="shared" si="5"/>
        <v>251297829</v>
      </c>
      <c r="Q134" s="400"/>
      <c r="R134" s="401"/>
      <c r="S134" s="401"/>
      <c r="T134" s="37">
        <f>T91+T133</f>
        <v>217540101</v>
      </c>
      <c r="V134" s="37">
        <f>V91+V133</f>
        <v>217539</v>
      </c>
      <c r="W134" s="51"/>
      <c r="X134" s="51">
        <f>G134+H134+I134+J134+M134</f>
        <v>21009569</v>
      </c>
      <c r="Y134" s="51">
        <f>D134+E134+F134+K134</f>
        <v>36031200</v>
      </c>
      <c r="Z134" s="51">
        <f>C134</f>
        <v>86507601</v>
      </c>
      <c r="AA134" s="51">
        <f>B134+L134+N134+O134</f>
        <v>107749459</v>
      </c>
      <c r="AB134" s="51">
        <f>SUM(W134:AA134)</f>
        <v>251297829</v>
      </c>
    </row>
    <row r="135" spans="1:29" ht="12" thickTop="1" x14ac:dyDescent="0.2">
      <c r="B135" s="52"/>
      <c r="C135" s="52"/>
      <c r="D135" s="52"/>
      <c r="E135" s="109"/>
      <c r="F135" s="52"/>
      <c r="G135" s="52"/>
      <c r="H135" s="52"/>
      <c r="I135" s="52"/>
      <c r="J135" s="52"/>
      <c r="K135" s="52"/>
      <c r="L135" s="52"/>
      <c r="M135" s="52"/>
      <c r="N135" s="52"/>
      <c r="O135" s="52"/>
      <c r="Q135" s="400"/>
      <c r="R135" s="401"/>
      <c r="S135" s="401"/>
      <c r="X135" s="31">
        <f>'Conso P adjs'!H4</f>
        <v>0</v>
      </c>
      <c r="Y135" s="31">
        <f>'Conso P adjs'!I4</f>
        <v>0</v>
      </c>
      <c r="Z135" s="31"/>
      <c r="AA135" s="120" t="s">
        <v>158</v>
      </c>
      <c r="AB135" s="121">
        <f>SUM(R8:R132)</f>
        <v>526123590</v>
      </c>
      <c r="AC135" s="44">
        <v>6956</v>
      </c>
    </row>
    <row r="136" spans="1:29" x14ac:dyDescent="0.2">
      <c r="A136" s="33" t="s">
        <v>37</v>
      </c>
      <c r="B136" s="52"/>
      <c r="C136" s="52"/>
      <c r="D136" s="52"/>
      <c r="E136" s="109"/>
      <c r="F136" s="52"/>
      <c r="G136" s="52"/>
      <c r="H136" s="52"/>
      <c r="I136" s="52"/>
      <c r="J136" s="52"/>
      <c r="K136" s="52"/>
      <c r="L136" s="52"/>
      <c r="M136" s="52"/>
      <c r="N136" s="52"/>
      <c r="O136" s="52"/>
      <c r="Q136" s="400"/>
      <c r="R136" s="401"/>
      <c r="S136" s="401"/>
      <c r="X136" s="51">
        <f>SUM(X134:X135)</f>
        <v>21009569</v>
      </c>
      <c r="Y136" s="51">
        <f>SUM(Y134:Y135)</f>
        <v>36031200</v>
      </c>
      <c r="Z136" s="51"/>
      <c r="AA136" s="120" t="s">
        <v>159</v>
      </c>
      <c r="AB136" s="122">
        <f>-SUM(S8:S132)</f>
        <v>-559881320</v>
      </c>
      <c r="AC136" s="51"/>
    </row>
    <row r="137" spans="1:29" x14ac:dyDescent="0.2">
      <c r="A137" s="33" t="s">
        <v>58</v>
      </c>
      <c r="B137" s="52"/>
      <c r="C137" s="52"/>
      <c r="D137" s="52"/>
      <c r="E137" s="109"/>
      <c r="F137" s="52"/>
      <c r="G137" s="52"/>
      <c r="H137" s="52"/>
      <c r="I137" s="52"/>
      <c r="J137" s="52"/>
      <c r="K137" s="52"/>
      <c r="L137" s="52"/>
      <c r="M137" s="52"/>
      <c r="N137" s="52"/>
      <c r="O137" s="52"/>
      <c r="Q137" s="400"/>
      <c r="R137" s="401"/>
      <c r="S137" s="401"/>
      <c r="AB137" s="51">
        <f>SUM(AB135:AB136)</f>
        <v>-33757730</v>
      </c>
    </row>
    <row r="138" spans="1:29" x14ac:dyDescent="0.2">
      <c r="A138" s="33" t="s">
        <v>57</v>
      </c>
      <c r="B138" s="52"/>
      <c r="C138" s="52"/>
      <c r="D138" s="52"/>
      <c r="E138" s="109"/>
      <c r="F138" s="52"/>
      <c r="G138" s="52"/>
      <c r="H138" s="52"/>
      <c r="I138" s="52"/>
      <c r="J138" s="52"/>
      <c r="K138" s="52"/>
      <c r="L138" s="52"/>
      <c r="M138" s="52"/>
      <c r="N138" s="52"/>
      <c r="O138" s="52"/>
      <c r="Q138" s="400"/>
      <c r="R138" s="401"/>
      <c r="S138" s="401"/>
      <c r="AB138" s="51">
        <f>AB134+AB137</f>
        <v>217540099</v>
      </c>
    </row>
    <row r="139" spans="1:29" x14ac:dyDescent="0.2">
      <c r="A139" s="30" t="s">
        <v>14</v>
      </c>
      <c r="B139" s="52">
        <v>195934471</v>
      </c>
      <c r="C139" s="52">
        <f>100+1999900</f>
        <v>2000000</v>
      </c>
      <c r="D139" s="52">
        <v>28000000</v>
      </c>
      <c r="E139" s="109">
        <v>0</v>
      </c>
      <c r="F139" s="52">
        <v>1000000</v>
      </c>
      <c r="G139" s="52">
        <f>1000000+8000000</f>
        <v>9000000</v>
      </c>
      <c r="H139" s="52">
        <f>2500000+2000000</f>
        <v>4500000</v>
      </c>
      <c r="I139" s="52">
        <v>2</v>
      </c>
      <c r="J139" s="52">
        <v>100000</v>
      </c>
      <c r="K139" s="52">
        <v>100000</v>
      </c>
      <c r="L139" s="52">
        <v>2</v>
      </c>
      <c r="M139" s="52">
        <v>1100002</v>
      </c>
      <c r="N139" s="52">
        <v>2</v>
      </c>
      <c r="O139" s="52">
        <v>2</v>
      </c>
      <c r="P139" s="31">
        <f>SUM(B139:O139)</f>
        <v>241734481</v>
      </c>
      <c r="Q139" s="405" t="s">
        <v>1216</v>
      </c>
      <c r="R139" s="57">
        <f>'Consol 2017 Adj'!$D$7</f>
        <v>28000000</v>
      </c>
      <c r="S139" s="401"/>
      <c r="T139" s="31">
        <f>P139-R139-R140-R141-R142-R143-R144-R145-R146-R147-R148-R149-R150+S150+S149+S148+S147+S146+S145+S144+S143+S139+S140+S141+S142-R153+S153-R151+S151-R152+S152-R154+S154</f>
        <v>195934471</v>
      </c>
      <c r="U139" s="31">
        <v>195934471</v>
      </c>
      <c r="V139" s="31">
        <v>195935</v>
      </c>
      <c r="AB139" s="51">
        <v>6956</v>
      </c>
    </row>
    <row r="140" spans="1:29" hidden="1" outlineLevel="1" x14ac:dyDescent="0.2">
      <c r="B140" s="52"/>
      <c r="C140" s="52"/>
      <c r="D140" s="52"/>
      <c r="E140" s="109"/>
      <c r="F140" s="52"/>
      <c r="G140" s="52"/>
      <c r="H140" s="52"/>
      <c r="I140" s="52"/>
      <c r="J140" s="52"/>
      <c r="K140" s="52"/>
      <c r="L140" s="52"/>
      <c r="M140" s="52"/>
      <c r="N140" s="52"/>
      <c r="O140" s="52"/>
      <c r="Q140" s="314" t="s">
        <v>1217</v>
      </c>
      <c r="R140" s="406">
        <f>'Consol 2017 Adj'!$D$13</f>
        <v>1000000</v>
      </c>
      <c r="S140" s="401"/>
      <c r="U140" s="51">
        <f>T139-U139</f>
        <v>0</v>
      </c>
      <c r="AB140" s="51">
        <f>SUM(AB138:AB139)</f>
        <v>217547055</v>
      </c>
    </row>
    <row r="141" spans="1:29" hidden="1" outlineLevel="1" x14ac:dyDescent="0.2">
      <c r="B141" s="52"/>
      <c r="C141" s="52"/>
      <c r="D141" s="52"/>
      <c r="E141" s="109"/>
      <c r="F141" s="52"/>
      <c r="G141" s="52"/>
      <c r="H141" s="52"/>
      <c r="I141" s="52"/>
      <c r="J141" s="52"/>
      <c r="K141" s="52"/>
      <c r="L141" s="52"/>
      <c r="M141" s="52"/>
      <c r="N141" s="52"/>
      <c r="O141" s="52"/>
      <c r="Q141" s="314" t="s">
        <v>1229</v>
      </c>
      <c r="R141" s="57">
        <f>'Consol 2017 Adj'!$D$23</f>
        <v>2000000</v>
      </c>
      <c r="S141" s="401"/>
    </row>
    <row r="142" spans="1:29" hidden="1" outlineLevel="1" x14ac:dyDescent="0.2">
      <c r="B142" s="52"/>
      <c r="C142" s="52"/>
      <c r="D142" s="52"/>
      <c r="E142" s="109"/>
      <c r="F142" s="52"/>
      <c r="G142" s="52"/>
      <c r="H142" s="52"/>
      <c r="I142" s="52"/>
      <c r="J142" s="52"/>
      <c r="K142" s="52"/>
      <c r="L142" s="52"/>
      <c r="M142" s="52"/>
      <c r="N142" s="52"/>
      <c r="O142" s="52"/>
      <c r="Q142" s="314" t="s">
        <v>1218</v>
      </c>
      <c r="R142" s="57">
        <f>SUM('Consol 2017 Adj'!D34:D42)</f>
        <v>14800010</v>
      </c>
      <c r="S142" s="401"/>
    </row>
    <row r="143" spans="1:29" hidden="1" outlineLevel="1" x14ac:dyDescent="0.2">
      <c r="B143" s="52"/>
      <c r="C143" s="52"/>
      <c r="D143" s="52"/>
      <c r="E143" s="109"/>
      <c r="F143" s="52"/>
      <c r="G143" s="52"/>
      <c r="H143" s="52"/>
      <c r="I143" s="52"/>
      <c r="J143" s="52"/>
      <c r="K143" s="52"/>
      <c r="L143" s="52"/>
      <c r="M143" s="52"/>
      <c r="N143" s="52"/>
      <c r="O143" s="52"/>
      <c r="Q143" s="314"/>
      <c r="R143" s="57"/>
      <c r="S143" s="401"/>
    </row>
    <row r="144" spans="1:29" hidden="1" outlineLevel="1" x14ac:dyDescent="0.2">
      <c r="B144" s="52"/>
      <c r="C144" s="52"/>
      <c r="D144" s="52"/>
      <c r="E144" s="109"/>
      <c r="F144" s="52"/>
      <c r="G144" s="52"/>
      <c r="H144" s="52"/>
      <c r="I144" s="52"/>
      <c r="J144" s="52"/>
      <c r="K144" s="52"/>
      <c r="L144" s="52"/>
      <c r="M144" s="52"/>
      <c r="N144" s="52"/>
      <c r="O144" s="52"/>
      <c r="Q144" s="400"/>
      <c r="R144" s="401"/>
      <c r="S144" s="401"/>
    </row>
    <row r="145" spans="1:28" hidden="1" outlineLevel="1" x14ac:dyDescent="0.2">
      <c r="B145" s="52"/>
      <c r="C145" s="52"/>
      <c r="D145" s="52"/>
      <c r="E145" s="109"/>
      <c r="F145" s="52"/>
      <c r="G145" s="52"/>
      <c r="H145" s="52"/>
      <c r="I145" s="52"/>
      <c r="J145" s="52"/>
      <c r="K145" s="52"/>
      <c r="L145" s="52"/>
      <c r="M145" s="52"/>
      <c r="N145" s="52"/>
      <c r="O145" s="52"/>
      <c r="Q145" s="400"/>
      <c r="R145" s="401"/>
      <c r="S145" s="401"/>
    </row>
    <row r="146" spans="1:28" hidden="1" outlineLevel="1" x14ac:dyDescent="0.2">
      <c r="B146" s="52"/>
      <c r="C146" s="52"/>
      <c r="D146" s="52"/>
      <c r="E146" s="109"/>
      <c r="F146" s="52"/>
      <c r="G146" s="52"/>
      <c r="H146" s="52"/>
      <c r="I146" s="52"/>
      <c r="J146" s="52"/>
      <c r="K146" s="52"/>
      <c r="L146" s="52"/>
      <c r="M146" s="52"/>
      <c r="N146" s="52"/>
      <c r="O146" s="52"/>
      <c r="Q146" s="400"/>
      <c r="R146" s="401"/>
      <c r="S146" s="401"/>
    </row>
    <row r="147" spans="1:28" hidden="1" outlineLevel="1" x14ac:dyDescent="0.2">
      <c r="B147" s="52"/>
      <c r="C147" s="52"/>
      <c r="D147" s="52"/>
      <c r="E147" s="109"/>
      <c r="F147" s="52"/>
      <c r="G147" s="52"/>
      <c r="H147" s="52"/>
      <c r="I147" s="52"/>
      <c r="J147" s="52"/>
      <c r="K147" s="52"/>
      <c r="L147" s="52"/>
      <c r="M147" s="52"/>
      <c r="N147" s="52"/>
      <c r="O147" s="52"/>
      <c r="Q147" s="400"/>
      <c r="R147" s="401"/>
      <c r="S147" s="401"/>
    </row>
    <row r="148" spans="1:28" hidden="1" outlineLevel="1" x14ac:dyDescent="0.2">
      <c r="B148" s="52"/>
      <c r="C148" s="52"/>
      <c r="D148" s="52"/>
      <c r="E148" s="109"/>
      <c r="F148" s="52"/>
      <c r="G148" s="52"/>
      <c r="H148" s="52"/>
      <c r="I148" s="52"/>
      <c r="J148" s="52"/>
      <c r="K148" s="52"/>
      <c r="L148" s="52"/>
      <c r="M148" s="52"/>
      <c r="N148" s="52"/>
      <c r="O148" s="52"/>
      <c r="Q148" s="400"/>
      <c r="R148" s="401"/>
      <c r="S148" s="401"/>
    </row>
    <row r="149" spans="1:28" hidden="1" outlineLevel="1" x14ac:dyDescent="0.2">
      <c r="B149" s="52"/>
      <c r="C149" s="52"/>
      <c r="D149" s="52"/>
      <c r="E149" s="109"/>
      <c r="F149" s="52"/>
      <c r="G149" s="52"/>
      <c r="H149" s="52"/>
      <c r="I149" s="52"/>
      <c r="J149" s="52"/>
      <c r="K149" s="52"/>
      <c r="L149" s="52"/>
      <c r="M149" s="52"/>
      <c r="N149" s="52"/>
      <c r="O149" s="52"/>
      <c r="Q149" s="400"/>
      <c r="R149" s="401"/>
      <c r="S149" s="401"/>
    </row>
    <row r="150" spans="1:28" hidden="1" outlineLevel="1" x14ac:dyDescent="0.2">
      <c r="B150" s="52"/>
      <c r="C150" s="52"/>
      <c r="D150" s="52"/>
      <c r="E150" s="109"/>
      <c r="F150" s="52"/>
      <c r="G150" s="52"/>
      <c r="H150" s="52"/>
      <c r="I150" s="52"/>
      <c r="J150" s="52"/>
      <c r="K150" s="52"/>
      <c r="L150" s="52"/>
      <c r="M150" s="52"/>
      <c r="N150" s="52"/>
      <c r="O150" s="52"/>
      <c r="Q150" s="400"/>
      <c r="R150" s="401"/>
      <c r="S150" s="401"/>
    </row>
    <row r="151" spans="1:28" hidden="1" outlineLevel="1" x14ac:dyDescent="0.2">
      <c r="B151" s="52"/>
      <c r="C151" s="52"/>
      <c r="D151" s="52"/>
      <c r="E151" s="109"/>
      <c r="F151" s="52"/>
      <c r="G151" s="52"/>
      <c r="H151" s="52"/>
      <c r="I151" s="52"/>
      <c r="J151" s="52"/>
      <c r="K151" s="52"/>
      <c r="L151" s="52"/>
      <c r="M151" s="52"/>
      <c r="N151" s="52"/>
      <c r="O151" s="52"/>
      <c r="Q151" s="400"/>
      <c r="R151" s="401"/>
      <c r="S151" s="401"/>
    </row>
    <row r="152" spans="1:28" hidden="1" outlineLevel="1" x14ac:dyDescent="0.2">
      <c r="B152" s="52"/>
      <c r="C152" s="52"/>
      <c r="D152" s="52"/>
      <c r="E152" s="109"/>
      <c r="F152" s="52"/>
      <c r="G152" s="52"/>
      <c r="H152" s="52"/>
      <c r="I152" s="52"/>
      <c r="J152" s="52"/>
      <c r="K152" s="52"/>
      <c r="L152" s="52"/>
      <c r="M152" s="52"/>
      <c r="N152" s="52"/>
      <c r="O152" s="52"/>
      <c r="Q152" s="400"/>
      <c r="R152" s="401"/>
      <c r="S152" s="401"/>
    </row>
    <row r="153" spans="1:28" hidden="1" outlineLevel="1" x14ac:dyDescent="0.2">
      <c r="B153" s="52"/>
      <c r="C153" s="52"/>
      <c r="D153" s="52"/>
      <c r="E153" s="109"/>
      <c r="F153" s="52"/>
      <c r="G153" s="52"/>
      <c r="H153" s="52"/>
      <c r="I153" s="52"/>
      <c r="J153" s="52"/>
      <c r="K153" s="52"/>
      <c r="L153" s="52"/>
      <c r="M153" s="52"/>
      <c r="N153" s="52"/>
      <c r="O153" s="52"/>
      <c r="Q153" s="400"/>
      <c r="R153" s="401"/>
      <c r="S153" s="401"/>
    </row>
    <row r="154" spans="1:28" hidden="1" outlineLevel="1" x14ac:dyDescent="0.2">
      <c r="B154" s="52"/>
      <c r="C154" s="52"/>
      <c r="D154" s="52"/>
      <c r="E154" s="109"/>
      <c r="F154" s="52"/>
      <c r="G154" s="52"/>
      <c r="H154" s="52"/>
      <c r="I154" s="52"/>
      <c r="J154" s="52"/>
      <c r="K154" s="52"/>
      <c r="L154" s="52"/>
      <c r="M154" s="52"/>
      <c r="N154" s="52"/>
      <c r="O154" s="52"/>
      <c r="Q154" s="400"/>
      <c r="R154" s="401"/>
      <c r="S154" s="401"/>
    </row>
    <row r="155" spans="1:28" collapsed="1" x14ac:dyDescent="0.2">
      <c r="A155" s="30" t="s">
        <v>111</v>
      </c>
      <c r="B155" s="52">
        <v>20494100</v>
      </c>
      <c r="C155" s="52">
        <v>0</v>
      </c>
      <c r="D155" s="52">
        <v>0</v>
      </c>
      <c r="E155" s="109">
        <v>0</v>
      </c>
      <c r="F155" s="52">
        <v>0</v>
      </c>
      <c r="G155" s="52">
        <v>0</v>
      </c>
      <c r="H155" s="52">
        <v>0</v>
      </c>
      <c r="I155" s="52">
        <v>0</v>
      </c>
      <c r="J155" s="52">
        <v>0</v>
      </c>
      <c r="K155" s="52">
        <v>0</v>
      </c>
      <c r="L155" s="52">
        <v>0</v>
      </c>
      <c r="M155" s="52">
        <v>0</v>
      </c>
      <c r="N155" s="52">
        <v>0</v>
      </c>
      <c r="O155" s="52">
        <v>0</v>
      </c>
      <c r="P155" s="31">
        <f>SUM(B155:O155)</f>
        <v>20494100</v>
      </c>
      <c r="Q155" s="400"/>
      <c r="R155" s="401"/>
      <c r="S155" s="401"/>
      <c r="T155" s="31">
        <f>P155-R155+S155</f>
        <v>20494100</v>
      </c>
      <c r="V155" s="31">
        <v>20494</v>
      </c>
      <c r="AB155" s="51">
        <f>SUM(AB138:AB139)</f>
        <v>217547055</v>
      </c>
    </row>
    <row r="156" spans="1:28" x14ac:dyDescent="0.2">
      <c r="A156" s="30" t="s">
        <v>25</v>
      </c>
      <c r="B156" s="52">
        <v>3805990</v>
      </c>
      <c r="C156" s="52">
        <v>0</v>
      </c>
      <c r="D156" s="52">
        <v>0</v>
      </c>
      <c r="E156" s="109">
        <v>0</v>
      </c>
      <c r="F156" s="52">
        <v>0</v>
      </c>
      <c r="G156" s="52">
        <v>0</v>
      </c>
      <c r="H156" s="52">
        <v>0</v>
      </c>
      <c r="I156" s="52">
        <v>0</v>
      </c>
      <c r="J156" s="52">
        <v>0</v>
      </c>
      <c r="K156" s="52">
        <v>0</v>
      </c>
      <c r="L156" s="52">
        <v>0</v>
      </c>
      <c r="M156" s="52">
        <v>0</v>
      </c>
      <c r="N156" s="52">
        <v>0</v>
      </c>
      <c r="O156" s="52">
        <v>0</v>
      </c>
      <c r="P156" s="31">
        <f>SUM(B156:O156)</f>
        <v>3805990</v>
      </c>
      <c r="Q156" s="400"/>
      <c r="R156" s="401"/>
      <c r="S156" s="401"/>
      <c r="T156" s="31">
        <f>P156-R156+S156</f>
        <v>3805990</v>
      </c>
      <c r="V156" s="31">
        <v>3806</v>
      </c>
    </row>
    <row r="157" spans="1:28" x14ac:dyDescent="0.2">
      <c r="A157" s="34" t="s">
        <v>71</v>
      </c>
      <c r="B157" s="52">
        <f>-3279648</f>
        <v>-3279648</v>
      </c>
      <c r="C157" s="52">
        <v>0</v>
      </c>
      <c r="D157" s="52">
        <v>0</v>
      </c>
      <c r="E157" s="109">
        <v>0</v>
      </c>
      <c r="F157" s="52">
        <v>0</v>
      </c>
      <c r="G157" s="52">
        <v>0</v>
      </c>
      <c r="H157" s="52">
        <v>0</v>
      </c>
      <c r="I157" s="52">
        <v>0</v>
      </c>
      <c r="J157" s="52">
        <v>0</v>
      </c>
      <c r="K157" s="52">
        <v>0</v>
      </c>
      <c r="L157" s="52">
        <v>0</v>
      </c>
      <c r="M157" s="52">
        <v>0</v>
      </c>
      <c r="N157" s="52">
        <v>0</v>
      </c>
      <c r="O157" s="52">
        <v>0</v>
      </c>
      <c r="P157" s="31">
        <f>SUM(B157:O157)</f>
        <v>-3279648</v>
      </c>
      <c r="Q157" s="400"/>
      <c r="R157" s="401"/>
      <c r="S157" s="401"/>
      <c r="T157" s="31">
        <f>P157-R157+S157</f>
        <v>-3279648</v>
      </c>
      <c r="V157" s="31">
        <v>-3280</v>
      </c>
    </row>
    <row r="158" spans="1:28" x14ac:dyDescent="0.2">
      <c r="A158" s="55" t="s">
        <v>226</v>
      </c>
      <c r="B158" s="52">
        <v>8075692</v>
      </c>
      <c r="C158" s="52">
        <v>0</v>
      </c>
      <c r="D158" s="52">
        <v>0</v>
      </c>
      <c r="E158" s="109">
        <v>0</v>
      </c>
      <c r="F158" s="52">
        <v>0</v>
      </c>
      <c r="G158" s="52">
        <v>0</v>
      </c>
      <c r="H158" s="52">
        <v>0</v>
      </c>
      <c r="I158" s="52">
        <v>0</v>
      </c>
      <c r="J158" s="52">
        <v>0</v>
      </c>
      <c r="K158" s="52">
        <v>0</v>
      </c>
      <c r="L158" s="52">
        <v>0</v>
      </c>
      <c r="M158" s="52">
        <v>0</v>
      </c>
      <c r="N158" s="52">
        <v>0</v>
      </c>
      <c r="O158" s="52">
        <v>0</v>
      </c>
      <c r="P158" s="31">
        <f>SUM(B158:O158)</f>
        <v>8075692</v>
      </c>
      <c r="Q158" s="405" t="s">
        <v>1216</v>
      </c>
      <c r="R158" s="57">
        <f>'Consol 2017 Adj'!$D$8</f>
        <v>27606591</v>
      </c>
      <c r="S158" s="57"/>
      <c r="T158" s="31">
        <f>P158-R158-R159-R160-R161-R162-R163-R164-R165-R166-R167-R168-R169-R170+S170+S169+S168+S167+S166+S165+S164+S163+S162+S161+S160+S159+S158-R171+S171</f>
        <v>-8141012</v>
      </c>
      <c r="V158" s="31">
        <v>-8141</v>
      </c>
    </row>
    <row r="159" spans="1:28" hidden="1" outlineLevel="1" x14ac:dyDescent="0.2">
      <c r="A159" s="55"/>
      <c r="B159" s="52"/>
      <c r="C159" s="52"/>
      <c r="D159" s="52"/>
      <c r="E159" s="109"/>
      <c r="F159" s="52"/>
      <c r="G159" s="52"/>
      <c r="H159" s="52"/>
      <c r="I159" s="52"/>
      <c r="J159" s="52"/>
      <c r="K159" s="52"/>
      <c r="L159" s="52"/>
      <c r="M159" s="52"/>
      <c r="N159" s="52"/>
      <c r="O159" s="52"/>
      <c r="Q159" s="408" t="s">
        <v>1217</v>
      </c>
      <c r="R159" s="57">
        <f>'Consol 2017 Adj'!$D$14</f>
        <v>2673302</v>
      </c>
      <c r="S159" s="57"/>
    </row>
    <row r="160" spans="1:28" hidden="1" outlineLevel="1" x14ac:dyDescent="0.2">
      <c r="A160" s="55"/>
      <c r="B160" s="52"/>
      <c r="C160" s="52"/>
      <c r="D160" s="52"/>
      <c r="E160" s="109"/>
      <c r="F160" s="52"/>
      <c r="G160" s="52"/>
      <c r="H160" s="52"/>
      <c r="I160" s="52"/>
      <c r="J160" s="52"/>
      <c r="K160" s="52"/>
      <c r="L160" s="52"/>
      <c r="M160" s="52"/>
      <c r="N160" s="52"/>
      <c r="O160" s="52"/>
      <c r="Q160" s="408">
        <v>6</v>
      </c>
      <c r="R160" s="57">
        <f>'Consol 2017 Adj'!$D$82</f>
        <v>366615</v>
      </c>
      <c r="S160" s="57"/>
    </row>
    <row r="161" spans="1:22" hidden="1" outlineLevel="1" x14ac:dyDescent="0.2">
      <c r="A161" s="55"/>
      <c r="B161" s="52"/>
      <c r="C161" s="52"/>
      <c r="D161" s="52"/>
      <c r="E161" s="109"/>
      <c r="F161" s="52"/>
      <c r="G161" s="52"/>
      <c r="H161" s="52"/>
      <c r="I161" s="52"/>
      <c r="J161" s="52"/>
      <c r="K161" s="52"/>
      <c r="L161" s="52"/>
      <c r="M161" s="52"/>
      <c r="N161" s="52"/>
      <c r="O161" s="52"/>
      <c r="Q161" s="408">
        <v>7</v>
      </c>
      <c r="R161" s="57"/>
      <c r="S161" s="57">
        <f>'Consol 2017 Adj'!$E$97</f>
        <v>2214706</v>
      </c>
    </row>
    <row r="162" spans="1:22" hidden="1" outlineLevel="1" x14ac:dyDescent="0.2">
      <c r="A162" s="55"/>
      <c r="B162" s="52"/>
      <c r="C162" s="52"/>
      <c r="D162" s="52"/>
      <c r="E162" s="109"/>
      <c r="F162" s="52"/>
      <c r="G162" s="52"/>
      <c r="H162" s="52"/>
      <c r="I162" s="52"/>
      <c r="J162" s="52"/>
      <c r="K162" s="52"/>
      <c r="L162" s="52"/>
      <c r="M162" s="52"/>
      <c r="N162" s="52"/>
      <c r="O162" s="52"/>
      <c r="Q162" s="408">
        <v>8</v>
      </c>
      <c r="R162" s="57"/>
      <c r="S162" s="57">
        <f>'Consol 2017 Adj'!$E$125</f>
        <v>6992198</v>
      </c>
    </row>
    <row r="163" spans="1:22" hidden="1" outlineLevel="1" x14ac:dyDescent="0.2">
      <c r="A163" s="55"/>
      <c r="B163" s="52"/>
      <c r="C163" s="52"/>
      <c r="D163" s="52"/>
      <c r="E163" s="109"/>
      <c r="F163" s="52"/>
      <c r="G163" s="52"/>
      <c r="H163" s="52"/>
      <c r="I163" s="52"/>
      <c r="J163" s="52"/>
      <c r="K163" s="52"/>
      <c r="L163" s="52"/>
      <c r="M163" s="52"/>
      <c r="N163" s="52"/>
      <c r="O163" s="52"/>
      <c r="Q163" s="408">
        <v>11</v>
      </c>
      <c r="R163" s="57"/>
      <c r="S163" s="57">
        <f>'Consol 2017 Adj'!$E$152</f>
        <v>5222900</v>
      </c>
    </row>
    <row r="164" spans="1:22" hidden="1" outlineLevel="1" x14ac:dyDescent="0.2">
      <c r="A164" s="55"/>
      <c r="B164" s="52"/>
      <c r="C164" s="52"/>
      <c r="D164" s="52"/>
      <c r="E164" s="109"/>
      <c r="F164" s="52"/>
      <c r="G164" s="52"/>
      <c r="H164" s="52"/>
      <c r="I164" s="52"/>
      <c r="J164" s="52"/>
      <c r="K164" s="52"/>
      <c r="L164" s="52"/>
      <c r="M164" s="52"/>
      <c r="N164" s="52"/>
      <c r="O164" s="52"/>
      <c r="Q164" s="400"/>
      <c r="R164" s="401"/>
      <c r="S164" s="401"/>
    </row>
    <row r="165" spans="1:22" hidden="1" outlineLevel="1" x14ac:dyDescent="0.2">
      <c r="A165" s="55"/>
      <c r="B165" s="52"/>
      <c r="C165" s="52"/>
      <c r="D165" s="52"/>
      <c r="E165" s="109"/>
      <c r="F165" s="52"/>
      <c r="G165" s="52"/>
      <c r="H165" s="52"/>
      <c r="I165" s="52"/>
      <c r="J165" s="52"/>
      <c r="K165" s="52"/>
      <c r="L165" s="52"/>
      <c r="M165" s="52"/>
      <c r="N165" s="52"/>
      <c r="O165" s="52"/>
      <c r="Q165" s="400"/>
      <c r="R165" s="401"/>
      <c r="S165" s="401"/>
    </row>
    <row r="166" spans="1:22" hidden="1" outlineLevel="1" x14ac:dyDescent="0.2">
      <c r="A166" s="55"/>
      <c r="B166" s="52"/>
      <c r="C166" s="52"/>
      <c r="D166" s="52"/>
      <c r="E166" s="109"/>
      <c r="F166" s="52"/>
      <c r="G166" s="52"/>
      <c r="H166" s="52"/>
      <c r="I166" s="52"/>
      <c r="J166" s="52"/>
      <c r="K166" s="52"/>
      <c r="L166" s="52"/>
      <c r="M166" s="52"/>
      <c r="N166" s="52"/>
      <c r="O166" s="52"/>
      <c r="Q166" s="400"/>
      <c r="R166" s="401"/>
      <c r="S166" s="401"/>
    </row>
    <row r="167" spans="1:22" hidden="1" outlineLevel="1" x14ac:dyDescent="0.2">
      <c r="A167" s="55"/>
      <c r="B167" s="52"/>
      <c r="C167" s="52"/>
      <c r="D167" s="52"/>
      <c r="E167" s="109"/>
      <c r="F167" s="52"/>
      <c r="G167" s="52"/>
      <c r="H167" s="52"/>
      <c r="I167" s="52"/>
      <c r="J167" s="52"/>
      <c r="K167" s="52"/>
      <c r="L167" s="52"/>
      <c r="M167" s="52"/>
      <c r="N167" s="52"/>
      <c r="O167" s="52"/>
      <c r="Q167" s="400"/>
      <c r="R167" s="401"/>
      <c r="S167" s="401"/>
    </row>
    <row r="168" spans="1:22" hidden="1" outlineLevel="1" x14ac:dyDescent="0.2">
      <c r="A168" s="55"/>
      <c r="B168" s="52"/>
      <c r="C168" s="52"/>
      <c r="D168" s="52"/>
      <c r="E168" s="109"/>
      <c r="F168" s="52"/>
      <c r="G168" s="52"/>
      <c r="H168" s="52"/>
      <c r="I168" s="52"/>
      <c r="J168" s="52"/>
      <c r="K168" s="52"/>
      <c r="L168" s="52"/>
      <c r="M168" s="52"/>
      <c r="N168" s="52"/>
      <c r="O168" s="52"/>
      <c r="Q168" s="400"/>
      <c r="R168" s="401"/>
      <c r="S168" s="401"/>
    </row>
    <row r="169" spans="1:22" hidden="1" outlineLevel="1" x14ac:dyDescent="0.2">
      <c r="A169" s="55"/>
      <c r="B169" s="52"/>
      <c r="C169" s="52"/>
      <c r="D169" s="52"/>
      <c r="E169" s="109"/>
      <c r="F169" s="52"/>
      <c r="G169" s="52"/>
      <c r="H169" s="52"/>
      <c r="I169" s="52"/>
      <c r="J169" s="52"/>
      <c r="K169" s="52"/>
      <c r="L169" s="52"/>
      <c r="M169" s="52"/>
      <c r="N169" s="52"/>
      <c r="O169" s="52"/>
      <c r="Q169" s="400"/>
      <c r="R169" s="401"/>
      <c r="S169" s="401"/>
    </row>
    <row r="170" spans="1:22" hidden="1" outlineLevel="1" x14ac:dyDescent="0.2">
      <c r="A170" s="55"/>
      <c r="B170" s="52"/>
      <c r="C170" s="52"/>
      <c r="D170" s="52"/>
      <c r="E170" s="109"/>
      <c r="F170" s="52"/>
      <c r="G170" s="52"/>
      <c r="H170" s="52"/>
      <c r="I170" s="52"/>
      <c r="J170" s="52"/>
      <c r="K170" s="52"/>
      <c r="L170" s="52"/>
      <c r="M170" s="52"/>
      <c r="N170" s="52"/>
      <c r="O170" s="52"/>
      <c r="Q170" s="400"/>
      <c r="R170" s="401"/>
      <c r="S170" s="401"/>
    </row>
    <row r="171" spans="1:22" hidden="1" outlineLevel="1" x14ac:dyDescent="0.2">
      <c r="A171" s="55"/>
      <c r="B171" s="52"/>
      <c r="C171" s="52"/>
      <c r="D171" s="52"/>
      <c r="E171" s="109"/>
      <c r="F171" s="52"/>
      <c r="G171" s="52"/>
      <c r="H171" s="52"/>
      <c r="I171" s="52"/>
      <c r="J171" s="52"/>
      <c r="K171" s="52"/>
      <c r="L171" s="52"/>
      <c r="M171" s="52"/>
      <c r="N171" s="52"/>
      <c r="O171" s="52"/>
      <c r="Q171" s="400"/>
      <c r="R171" s="401"/>
      <c r="S171" s="401"/>
    </row>
    <row r="172" spans="1:22" collapsed="1" x14ac:dyDescent="0.2">
      <c r="A172" s="55" t="s">
        <v>1303</v>
      </c>
      <c r="B172" s="52"/>
      <c r="C172" s="52"/>
      <c r="D172" s="52"/>
      <c r="E172" s="109"/>
      <c r="F172" s="52"/>
      <c r="G172" s="52"/>
      <c r="H172" s="52"/>
      <c r="I172" s="52"/>
      <c r="J172" s="52"/>
      <c r="K172" s="52"/>
      <c r="L172" s="52"/>
      <c r="M172" s="52"/>
      <c r="N172" s="52"/>
      <c r="O172" s="52"/>
      <c r="P172" s="31">
        <f>SUM(B172:O172)</f>
        <v>0</v>
      </c>
      <c r="Q172" s="407" t="s">
        <v>1256</v>
      </c>
      <c r="R172" s="57"/>
      <c r="S172" s="57">
        <f>'Consol 2017 Adj'!$E$102</f>
        <v>21347389</v>
      </c>
      <c r="T172" s="31">
        <f>P172-R172+S172-R173+S173</f>
        <v>21276656</v>
      </c>
      <c r="V172" s="31">
        <v>21277</v>
      </c>
    </row>
    <row r="173" spans="1:22" hidden="1" outlineLevel="1" x14ac:dyDescent="0.2">
      <c r="A173" s="55"/>
      <c r="B173" s="52"/>
      <c r="C173" s="52"/>
      <c r="D173" s="52"/>
      <c r="E173" s="109"/>
      <c r="F173" s="52"/>
      <c r="G173" s="52"/>
      <c r="H173" s="52"/>
      <c r="I173" s="52"/>
      <c r="J173" s="52"/>
      <c r="K173" s="52"/>
      <c r="L173" s="52"/>
      <c r="M173" s="52"/>
      <c r="N173" s="52"/>
      <c r="O173" s="52"/>
      <c r="Q173" s="407" t="s">
        <v>1265</v>
      </c>
      <c r="R173" s="57">
        <f>'Consol 2017 Adj'!$D$116</f>
        <v>70733</v>
      </c>
      <c r="S173" s="57"/>
    </row>
    <row r="174" spans="1:22" hidden="1" outlineLevel="1" x14ac:dyDescent="0.2">
      <c r="A174" s="55"/>
      <c r="B174" s="52"/>
      <c r="C174" s="52"/>
      <c r="D174" s="52"/>
      <c r="E174" s="109"/>
      <c r="F174" s="52"/>
      <c r="G174" s="52"/>
      <c r="H174" s="52"/>
      <c r="I174" s="52"/>
      <c r="J174" s="52"/>
      <c r="K174" s="52"/>
      <c r="L174" s="52"/>
      <c r="M174" s="52"/>
      <c r="N174" s="52"/>
      <c r="O174" s="52"/>
      <c r="Q174" s="407"/>
      <c r="R174" s="401"/>
      <c r="S174" s="401"/>
    </row>
    <row r="175" spans="1:22" collapsed="1" x14ac:dyDescent="0.2">
      <c r="A175" s="30" t="s">
        <v>39</v>
      </c>
      <c r="B175" s="52">
        <f>-61393906-6818793-9421831-12387575-15426870-15787191+356924</f>
        <v>-120879242</v>
      </c>
      <c r="C175" s="52">
        <f>-487483-1514-819378-1228564-2004835+1+7720706+3772135-1955237-2</f>
        <v>4995829</v>
      </c>
      <c r="D175" s="52">
        <f>-25210129-540145-507618+9941+0+81896+58652</f>
        <v>-26107403</v>
      </c>
      <c r="E175" s="109">
        <v>0</v>
      </c>
      <c r="F175" s="52">
        <f>115458190-3832744-3914812-500274-2-128697-106500000-103241-34777</f>
        <v>443643</v>
      </c>
      <c r="G175" s="57">
        <f>-4180212-3138328-1128624-1248780+1-3000228+14151+608673</f>
        <v>-12073347</v>
      </c>
      <c r="H175" s="52">
        <f>-480875+123871-1650318-5859059-4164984-3039025-3413395</f>
        <v>-18483785</v>
      </c>
      <c r="I175" s="52">
        <f>-38622-8063-4761-3707+1-4441-2874-4040</f>
        <v>-66507</v>
      </c>
      <c r="J175" s="52">
        <f>-308285-178035-44297-233699+1+27398-3871-4111</f>
        <v>-744899</v>
      </c>
      <c r="K175" s="52">
        <f>-12814-3603-6116-5890-6242-26203-373942</f>
        <v>-434810</v>
      </c>
      <c r="L175" s="52">
        <f>-11670-1736-2188-2278-2937-4101+22408</f>
        <v>-2502</v>
      </c>
      <c r="M175" s="52">
        <f>-6814-254120-397682-81236+1-1193120-2965408-199489</f>
        <v>-5097868</v>
      </c>
      <c r="N175" s="52">
        <f>-6915-2279-2101-2202-2934-4117+18046</f>
        <v>-2502</v>
      </c>
      <c r="O175" s="52">
        <f>-6877-2229-2152-2389-3017-2804+16966</f>
        <v>-2502</v>
      </c>
      <c r="P175" s="52">
        <f>SUM(B175:O175)</f>
        <v>-178455895</v>
      </c>
      <c r="Q175" s="405" t="s">
        <v>1217</v>
      </c>
      <c r="R175" s="57">
        <f>'Consol 2017 Adj'!$D$15</f>
        <v>68955405</v>
      </c>
      <c r="S175" s="57"/>
      <c r="T175" s="31">
        <f>P175-R175-R176-R177-R178-R179-R180-R181-R182-R183-R184-R185-R186-R187-R188-R189-R190-R191-R192-R193-R194-R195-R196-R197-R198-R199-R200-R201-R202-R203-R204-R205-R206-R207-R208-R209+S209+S208+S207+S206+S205+S204+S203+S202+S201+S200+S199+S198+S197+S196+S195+S194+S193+S192+S191+S190+S189+S188+S187+S186+S185+S184+S183+S182+S181+S175+S176+S177+S178+S179+S180-R210+S210-R211+S211-R212+S212-R213+S213-R214+S214-R215+S215-R216+S216-R217+S217-R218+S218-R219+S219-R222+S222-R223+S223-R224+S224-R225+S225-R221+S221-R220+S220-R226+S226-R227+S227</f>
        <v>-98179126</v>
      </c>
      <c r="U175" s="251">
        <f>-88005132</f>
        <v>-88005132</v>
      </c>
      <c r="V175" s="31">
        <v>-98179</v>
      </c>
    </row>
    <row r="176" spans="1:22" hidden="1" outlineLevel="1" x14ac:dyDescent="0.2">
      <c r="B176" s="52"/>
      <c r="C176" s="52"/>
      <c r="D176" s="52"/>
      <c r="E176" s="109"/>
      <c r="F176" s="52"/>
      <c r="G176" s="52"/>
      <c r="H176" s="52"/>
      <c r="I176" s="52"/>
      <c r="J176" s="52"/>
      <c r="K176" s="52"/>
      <c r="L176" s="52"/>
      <c r="M176" s="52"/>
      <c r="N176" s="52"/>
      <c r="O176" s="52"/>
      <c r="Q176" s="405" t="s">
        <v>1229</v>
      </c>
      <c r="R176" s="57"/>
      <c r="S176" s="57">
        <f>'Consol 2017 Adj'!$E$28</f>
        <v>624113</v>
      </c>
      <c r="U176" s="31">
        <f>T175-U175</f>
        <v>-10173994</v>
      </c>
    </row>
    <row r="177" spans="2:21" hidden="1" outlineLevel="1" x14ac:dyDescent="0.2">
      <c r="B177" s="64"/>
      <c r="C177" s="64"/>
      <c r="D177" s="64"/>
      <c r="E177" s="385"/>
      <c r="F177" s="64"/>
      <c r="G177" s="64"/>
      <c r="H177" s="64"/>
      <c r="I177" s="64"/>
      <c r="J177" s="64"/>
      <c r="K177" s="64"/>
      <c r="L177" s="64"/>
      <c r="M177" s="64"/>
      <c r="N177" s="64"/>
      <c r="O177" s="64"/>
      <c r="P177" s="30"/>
      <c r="Q177" s="405" t="s">
        <v>1243</v>
      </c>
      <c r="R177" s="57"/>
      <c r="S177" s="57">
        <f>'Consol 2017 Adj'!$E$48</f>
        <v>25162</v>
      </c>
      <c r="U177" s="31"/>
    </row>
    <row r="178" spans="2:21" hidden="1" outlineLevel="1" x14ac:dyDescent="0.2">
      <c r="B178" s="64"/>
      <c r="C178" s="64"/>
      <c r="D178" s="64"/>
      <c r="E178" s="385"/>
      <c r="F178" s="64"/>
      <c r="G178" s="64"/>
      <c r="H178" s="64"/>
      <c r="I178" s="64"/>
      <c r="J178" s="64"/>
      <c r="K178" s="64"/>
      <c r="L178" s="64"/>
      <c r="M178" s="64"/>
      <c r="N178" s="64"/>
      <c r="O178" s="64"/>
      <c r="P178" s="30"/>
      <c r="Q178" s="405">
        <v>2</v>
      </c>
      <c r="R178" s="57"/>
      <c r="S178" s="57">
        <f>'Consol 2017 Adj'!$E$54</f>
        <v>138751069</v>
      </c>
      <c r="U178" s="31"/>
    </row>
    <row r="179" spans="2:21" hidden="1" outlineLevel="1" x14ac:dyDescent="0.2">
      <c r="B179" s="64"/>
      <c r="C179" s="64"/>
      <c r="D179" s="64"/>
      <c r="E179" s="385"/>
      <c r="F179" s="64"/>
      <c r="G179" s="64"/>
      <c r="H179" s="64"/>
      <c r="I179" s="64"/>
      <c r="J179" s="64"/>
      <c r="K179" s="64"/>
      <c r="L179" s="64"/>
      <c r="M179" s="64"/>
      <c r="N179" s="64"/>
      <c r="O179" s="64"/>
      <c r="P179" s="30"/>
      <c r="Q179" s="405">
        <v>2</v>
      </c>
      <c r="R179" s="57"/>
      <c r="S179" s="57">
        <f>'Consol 2017 Adj'!$E$55</f>
        <v>106631095</v>
      </c>
      <c r="U179" s="31"/>
    </row>
    <row r="180" spans="2:21" hidden="1" outlineLevel="1" x14ac:dyDescent="0.2">
      <c r="B180" s="64"/>
      <c r="C180" s="64"/>
      <c r="D180" s="64"/>
      <c r="E180" s="385"/>
      <c r="F180" s="64"/>
      <c r="G180" s="64"/>
      <c r="H180" s="64"/>
      <c r="I180" s="64"/>
      <c r="J180" s="64"/>
      <c r="K180" s="64"/>
      <c r="L180" s="64"/>
      <c r="M180" s="64"/>
      <c r="N180" s="64"/>
      <c r="O180" s="64"/>
      <c r="P180" s="30"/>
      <c r="Q180" s="405">
        <v>3</v>
      </c>
      <c r="R180" s="57">
        <f>'Consol 2017 Adj'!$D$60</f>
        <v>116920469</v>
      </c>
      <c r="S180" s="57"/>
      <c r="U180" s="31"/>
    </row>
    <row r="181" spans="2:21" hidden="1" outlineLevel="1" x14ac:dyDescent="0.2">
      <c r="B181" s="64"/>
      <c r="C181" s="64"/>
      <c r="D181" s="64"/>
      <c r="E181" s="385"/>
      <c r="F181" s="64"/>
      <c r="G181" s="64"/>
      <c r="H181" s="64"/>
      <c r="I181" s="64"/>
      <c r="J181" s="64"/>
      <c r="K181" s="64"/>
      <c r="L181" s="64"/>
      <c r="M181" s="64"/>
      <c r="N181" s="64"/>
      <c r="O181" s="64"/>
      <c r="P181" s="30"/>
      <c r="Q181" s="405">
        <v>4</v>
      </c>
      <c r="R181" s="57"/>
      <c r="S181" s="57">
        <f>'Consol 2017 Adj'!$E$69</f>
        <v>11266833</v>
      </c>
      <c r="U181" s="31"/>
    </row>
    <row r="182" spans="2:21" hidden="1" outlineLevel="1" x14ac:dyDescent="0.2">
      <c r="B182" s="64"/>
      <c r="C182" s="64"/>
      <c r="D182" s="64"/>
      <c r="E182" s="385"/>
      <c r="F182" s="64"/>
      <c r="G182" s="64"/>
      <c r="H182" s="64"/>
      <c r="I182" s="64"/>
      <c r="J182" s="64"/>
      <c r="K182" s="64"/>
      <c r="L182" s="64"/>
      <c r="M182" s="64"/>
      <c r="N182" s="64"/>
      <c r="O182" s="64"/>
      <c r="P182" s="30"/>
      <c r="Q182" s="405">
        <v>5</v>
      </c>
      <c r="R182" s="57">
        <f>'Consol 2017 Adj'!$D$74</f>
        <v>406832</v>
      </c>
      <c r="S182" s="57"/>
      <c r="U182" s="31"/>
    </row>
    <row r="183" spans="2:21" hidden="1" outlineLevel="1" x14ac:dyDescent="0.2">
      <c r="B183" s="64"/>
      <c r="C183" s="64"/>
      <c r="D183" s="64"/>
      <c r="E183" s="385"/>
      <c r="F183" s="64"/>
      <c r="G183" s="64"/>
      <c r="H183" s="64"/>
      <c r="I183" s="64"/>
      <c r="J183" s="64"/>
      <c r="K183" s="64"/>
      <c r="L183" s="64"/>
      <c r="M183" s="64"/>
      <c r="N183" s="64"/>
      <c r="O183" s="64"/>
      <c r="P183" s="30"/>
      <c r="Q183" s="405">
        <v>6</v>
      </c>
      <c r="R183" s="57"/>
      <c r="S183" s="57">
        <f>'Consol 2017 Adj'!$E$84</f>
        <v>748701</v>
      </c>
      <c r="U183" s="31"/>
    </row>
    <row r="184" spans="2:21" hidden="1" outlineLevel="1" x14ac:dyDescent="0.2">
      <c r="B184" s="64"/>
      <c r="C184" s="64"/>
      <c r="D184" s="64"/>
      <c r="E184" s="385"/>
      <c r="F184" s="64"/>
      <c r="G184" s="64"/>
      <c r="H184" s="64"/>
      <c r="I184" s="64"/>
      <c r="J184" s="64"/>
      <c r="K184" s="64"/>
      <c r="L184" s="64"/>
      <c r="M184" s="64"/>
      <c r="N184" s="64"/>
      <c r="O184" s="64"/>
      <c r="P184" s="30"/>
      <c r="Q184" s="405" t="s">
        <v>1260</v>
      </c>
      <c r="R184" s="57">
        <f>'Consol 2017 Adj'!$D$108</f>
        <v>90387</v>
      </c>
      <c r="S184" s="57"/>
      <c r="U184" s="31"/>
    </row>
    <row r="185" spans="2:21" hidden="1" outlineLevel="1" x14ac:dyDescent="0.2">
      <c r="B185" s="64"/>
      <c r="C185" s="64"/>
      <c r="D185" s="64"/>
      <c r="E185" s="385"/>
      <c r="F185" s="64"/>
      <c r="G185" s="64"/>
      <c r="H185" s="64"/>
      <c r="I185" s="64"/>
      <c r="J185" s="64"/>
      <c r="K185" s="64"/>
      <c r="L185" s="64"/>
      <c r="M185" s="64"/>
      <c r="N185" s="64"/>
      <c r="O185" s="64"/>
      <c r="P185" s="30"/>
      <c r="Q185" s="405" t="s">
        <v>1260</v>
      </c>
      <c r="R185" s="57"/>
      <c r="S185" s="57">
        <f>'Consol 2017 Adj'!$E$111</f>
        <v>19654</v>
      </c>
      <c r="U185" s="31"/>
    </row>
    <row r="186" spans="2:21" hidden="1" outlineLevel="1" x14ac:dyDescent="0.2">
      <c r="B186" s="64"/>
      <c r="C186" s="64"/>
      <c r="D186" s="64"/>
      <c r="E186" s="385"/>
      <c r="F186" s="64"/>
      <c r="G186" s="64"/>
      <c r="H186" s="64"/>
      <c r="I186" s="64"/>
      <c r="J186" s="64"/>
      <c r="K186" s="64"/>
      <c r="L186" s="64"/>
      <c r="M186" s="64"/>
      <c r="N186" s="64"/>
      <c r="O186" s="64"/>
      <c r="P186" s="30"/>
      <c r="Q186" s="405" t="s">
        <v>1265</v>
      </c>
      <c r="R186" s="57"/>
      <c r="S186" s="57">
        <f>'Consol 2017 Adj'!$E$117</f>
        <v>70733</v>
      </c>
      <c r="U186" s="31"/>
    </row>
    <row r="187" spans="2:21" hidden="1" outlineLevel="1" x14ac:dyDescent="0.2">
      <c r="B187" s="64"/>
      <c r="C187" s="64"/>
      <c r="D187" s="64"/>
      <c r="E187" s="385"/>
      <c r="F187" s="64"/>
      <c r="G187" s="64"/>
      <c r="H187" s="64"/>
      <c r="I187" s="64"/>
      <c r="J187" s="64"/>
      <c r="K187" s="64"/>
      <c r="L187" s="64"/>
      <c r="M187" s="64"/>
      <c r="N187" s="64"/>
      <c r="O187" s="64"/>
      <c r="P187" s="30"/>
      <c r="Q187" s="405">
        <v>8</v>
      </c>
      <c r="R187" s="57">
        <f>'Consol 2017 Adj'!$D$123</f>
        <v>3911251</v>
      </c>
      <c r="S187" s="57"/>
      <c r="U187" s="31"/>
    </row>
    <row r="188" spans="2:21" hidden="1" outlineLevel="1" x14ac:dyDescent="0.2">
      <c r="B188" s="64"/>
      <c r="C188" s="64"/>
      <c r="D188" s="64"/>
      <c r="E188" s="385"/>
      <c r="F188" s="64"/>
      <c r="G188" s="64"/>
      <c r="H188" s="64"/>
      <c r="I188" s="64"/>
      <c r="J188" s="64"/>
      <c r="K188" s="64"/>
      <c r="L188" s="64"/>
      <c r="M188" s="64"/>
      <c r="N188" s="64"/>
      <c r="O188" s="64"/>
      <c r="P188" s="30"/>
      <c r="Q188" s="405" t="s">
        <v>1270</v>
      </c>
      <c r="R188" s="57">
        <f>'Consol 2017 Adj'!$D$130</f>
        <v>3737805</v>
      </c>
      <c r="S188" s="57"/>
      <c r="U188" s="31"/>
    </row>
    <row r="189" spans="2:21" hidden="1" outlineLevel="1" x14ac:dyDescent="0.2">
      <c r="B189" s="64"/>
      <c r="C189" s="64"/>
      <c r="D189" s="64"/>
      <c r="E189" s="385"/>
      <c r="F189" s="64"/>
      <c r="G189" s="64"/>
      <c r="H189" s="64"/>
      <c r="I189" s="64"/>
      <c r="J189" s="64"/>
      <c r="K189" s="64"/>
      <c r="L189" s="64"/>
      <c r="M189" s="64"/>
      <c r="N189" s="64"/>
      <c r="O189" s="64"/>
      <c r="P189" s="30"/>
      <c r="Q189" s="405" t="s">
        <v>1270</v>
      </c>
      <c r="R189" s="57"/>
      <c r="S189" s="57">
        <f>'Consol 2017 Adj'!$E$133</f>
        <v>656858</v>
      </c>
      <c r="U189" s="31"/>
    </row>
    <row r="190" spans="2:21" hidden="1" outlineLevel="1" x14ac:dyDescent="0.2">
      <c r="B190" s="64"/>
      <c r="C190" s="64"/>
      <c r="D190" s="64"/>
      <c r="E190" s="385"/>
      <c r="F190" s="64"/>
      <c r="G190" s="64"/>
      <c r="H190" s="64"/>
      <c r="I190" s="64"/>
      <c r="J190" s="64"/>
      <c r="K190" s="64"/>
      <c r="L190" s="64"/>
      <c r="M190" s="64"/>
      <c r="N190" s="64"/>
      <c r="O190" s="64"/>
      <c r="P190" s="30"/>
      <c r="Q190" s="405">
        <v>9</v>
      </c>
      <c r="R190" s="57">
        <f>'Consol 2017 Adj'!$D$138</f>
        <v>436809</v>
      </c>
      <c r="S190" s="57"/>
      <c r="U190" s="31"/>
    </row>
    <row r="191" spans="2:21" hidden="1" outlineLevel="1" x14ac:dyDescent="0.2">
      <c r="B191" s="64"/>
      <c r="C191" s="64"/>
      <c r="D191" s="64"/>
      <c r="E191" s="385"/>
      <c r="F191" s="64"/>
      <c r="G191" s="64"/>
      <c r="H191" s="64"/>
      <c r="I191" s="64"/>
      <c r="J191" s="64"/>
      <c r="K191" s="64"/>
      <c r="L191" s="64"/>
      <c r="M191" s="64"/>
      <c r="N191" s="64"/>
      <c r="O191" s="64"/>
      <c r="P191" s="30"/>
      <c r="Q191" s="405">
        <v>10</v>
      </c>
      <c r="R191" s="57">
        <f>'Consol 2017 Adj'!$D$144</f>
        <v>3795936</v>
      </c>
      <c r="S191" s="57"/>
      <c r="U191" s="31"/>
    </row>
    <row r="192" spans="2:21" hidden="1" outlineLevel="1" x14ac:dyDescent="0.2">
      <c r="B192" s="64"/>
      <c r="C192" s="64"/>
      <c r="D192" s="64"/>
      <c r="E192" s="385"/>
      <c r="F192" s="64"/>
      <c r="G192" s="64"/>
      <c r="H192" s="64"/>
      <c r="I192" s="64"/>
      <c r="J192" s="64"/>
      <c r="K192" s="64"/>
      <c r="L192" s="64"/>
      <c r="M192" s="64"/>
      <c r="N192" s="64"/>
      <c r="O192" s="64"/>
      <c r="P192" s="30"/>
      <c r="Q192" s="405">
        <v>10</v>
      </c>
      <c r="R192" s="57">
        <f>'Consol 2017 Adj'!$D$145</f>
        <v>467904</v>
      </c>
      <c r="S192" s="57"/>
      <c r="U192" s="31"/>
    </row>
    <row r="193" spans="2:21" hidden="1" outlineLevel="1" x14ac:dyDescent="0.2">
      <c r="B193" s="52"/>
      <c r="C193" s="52"/>
      <c r="D193" s="52"/>
      <c r="E193" s="109"/>
      <c r="F193" s="52"/>
      <c r="G193" s="52"/>
      <c r="H193" s="52"/>
      <c r="I193" s="52"/>
      <c r="J193" s="52"/>
      <c r="K193" s="52"/>
      <c r="L193" s="52"/>
      <c r="M193" s="52"/>
      <c r="N193" s="52"/>
      <c r="O193" s="52"/>
      <c r="Q193" s="405">
        <v>11</v>
      </c>
      <c r="R193" s="57">
        <f>'Consol 2017 Adj'!$D$151</f>
        <v>5222900</v>
      </c>
      <c r="S193" s="57"/>
      <c r="U193" s="31"/>
    </row>
    <row r="194" spans="2:21" hidden="1" outlineLevel="1" x14ac:dyDescent="0.2">
      <c r="B194" s="52"/>
      <c r="C194" s="52"/>
      <c r="D194" s="52"/>
      <c r="E194" s="109"/>
      <c r="F194" s="52"/>
      <c r="G194" s="52"/>
      <c r="H194" s="52"/>
      <c r="I194" s="52"/>
      <c r="J194" s="52"/>
      <c r="K194" s="52"/>
      <c r="L194" s="52"/>
      <c r="M194" s="52"/>
      <c r="N194" s="52"/>
      <c r="O194" s="52"/>
      <c r="Q194" s="405">
        <v>13</v>
      </c>
      <c r="R194" s="57">
        <f>'Consol 2017 Adj'!$D$165</f>
        <v>2530659</v>
      </c>
      <c r="S194" s="57"/>
      <c r="U194" s="31"/>
    </row>
    <row r="195" spans="2:21" hidden="1" outlineLevel="1" x14ac:dyDescent="0.2">
      <c r="B195" s="52"/>
      <c r="C195" s="52"/>
      <c r="D195" s="52"/>
      <c r="E195" s="109"/>
      <c r="F195" s="52"/>
      <c r="G195" s="52"/>
      <c r="H195" s="52"/>
      <c r="I195" s="52"/>
      <c r="J195" s="52"/>
      <c r="K195" s="52"/>
      <c r="L195" s="52"/>
      <c r="M195" s="52"/>
      <c r="N195" s="52"/>
      <c r="O195" s="52"/>
      <c r="Q195" s="405">
        <v>13</v>
      </c>
      <c r="R195" s="57"/>
      <c r="S195" s="57">
        <f>'Consol 2017 Adj'!$E$166</f>
        <v>27958908</v>
      </c>
      <c r="U195" s="31"/>
    </row>
    <row r="196" spans="2:21" hidden="1" outlineLevel="1" x14ac:dyDescent="0.2">
      <c r="B196" s="52"/>
      <c r="C196" s="52"/>
      <c r="D196" s="52"/>
      <c r="E196" s="109"/>
      <c r="F196" s="52"/>
      <c r="G196" s="52"/>
      <c r="H196" s="52"/>
      <c r="I196" s="52"/>
      <c r="J196" s="52"/>
      <c r="K196" s="52"/>
      <c r="L196" s="52"/>
      <c r="M196" s="52"/>
      <c r="N196" s="52"/>
      <c r="O196" s="52"/>
      <c r="Q196" s="400"/>
      <c r="R196" s="401"/>
      <c r="S196" s="401"/>
      <c r="U196" s="31"/>
    </row>
    <row r="197" spans="2:21" hidden="1" outlineLevel="1" x14ac:dyDescent="0.2">
      <c r="B197" s="52"/>
      <c r="C197" s="52"/>
      <c r="D197" s="52"/>
      <c r="E197" s="109"/>
      <c r="F197" s="52"/>
      <c r="G197" s="52"/>
      <c r="H197" s="52"/>
      <c r="I197" s="52"/>
      <c r="J197" s="52"/>
      <c r="K197" s="52"/>
      <c r="L197" s="52"/>
      <c r="M197" s="52"/>
      <c r="N197" s="52"/>
      <c r="O197" s="52"/>
      <c r="Q197" s="400"/>
      <c r="R197" s="401"/>
      <c r="S197" s="401"/>
      <c r="U197" s="31"/>
    </row>
    <row r="198" spans="2:21" hidden="1" outlineLevel="1" x14ac:dyDescent="0.2">
      <c r="B198" s="52"/>
      <c r="C198" s="52"/>
      <c r="D198" s="52"/>
      <c r="E198" s="109"/>
      <c r="F198" s="52"/>
      <c r="G198" s="52"/>
      <c r="H198" s="52"/>
      <c r="I198" s="52"/>
      <c r="J198" s="52"/>
      <c r="K198" s="52"/>
      <c r="L198" s="52"/>
      <c r="M198" s="52"/>
      <c r="N198" s="52"/>
      <c r="O198" s="52"/>
      <c r="Q198" s="400"/>
      <c r="R198" s="401"/>
      <c r="S198" s="401"/>
      <c r="U198" s="31"/>
    </row>
    <row r="199" spans="2:21" hidden="1" outlineLevel="1" x14ac:dyDescent="0.2">
      <c r="B199" s="52"/>
      <c r="C199" s="52"/>
      <c r="D199" s="52"/>
      <c r="E199" s="109"/>
      <c r="F199" s="52"/>
      <c r="G199" s="52"/>
      <c r="H199" s="52"/>
      <c r="I199" s="52"/>
      <c r="J199" s="52"/>
      <c r="K199" s="52"/>
      <c r="L199" s="52"/>
      <c r="M199" s="52"/>
      <c r="N199" s="52"/>
      <c r="O199" s="52"/>
      <c r="Q199" s="400"/>
      <c r="R199" s="401"/>
      <c r="S199" s="401"/>
      <c r="U199" s="31"/>
    </row>
    <row r="200" spans="2:21" hidden="1" outlineLevel="1" x14ac:dyDescent="0.2">
      <c r="B200" s="52"/>
      <c r="C200" s="52"/>
      <c r="D200" s="52"/>
      <c r="E200" s="109"/>
      <c r="F200" s="52"/>
      <c r="G200" s="52"/>
      <c r="H200" s="52"/>
      <c r="I200" s="52"/>
      <c r="J200" s="52"/>
      <c r="K200" s="52"/>
      <c r="L200" s="52"/>
      <c r="M200" s="52"/>
      <c r="N200" s="52"/>
      <c r="O200" s="52"/>
      <c r="Q200" s="400"/>
      <c r="R200" s="401"/>
      <c r="S200" s="401"/>
      <c r="U200" s="31"/>
    </row>
    <row r="201" spans="2:21" hidden="1" outlineLevel="1" x14ac:dyDescent="0.2">
      <c r="B201" s="52"/>
      <c r="C201" s="52"/>
      <c r="D201" s="52"/>
      <c r="E201" s="109"/>
      <c r="F201" s="52"/>
      <c r="G201" s="52"/>
      <c r="H201" s="52"/>
      <c r="I201" s="52"/>
      <c r="J201" s="52"/>
      <c r="K201" s="52"/>
      <c r="L201" s="52"/>
      <c r="M201" s="52"/>
      <c r="N201" s="52"/>
      <c r="O201" s="52"/>
      <c r="Q201" s="400"/>
      <c r="R201" s="401"/>
      <c r="S201" s="401"/>
      <c r="U201" s="31"/>
    </row>
    <row r="202" spans="2:21" hidden="1" outlineLevel="1" x14ac:dyDescent="0.2">
      <c r="B202" s="52"/>
      <c r="C202" s="52"/>
      <c r="D202" s="52"/>
      <c r="E202" s="109"/>
      <c r="F202" s="52"/>
      <c r="G202" s="52"/>
      <c r="H202" s="52"/>
      <c r="I202" s="52"/>
      <c r="J202" s="52"/>
      <c r="K202" s="52"/>
      <c r="L202" s="52"/>
      <c r="M202" s="52"/>
      <c r="N202" s="52"/>
      <c r="O202" s="52"/>
      <c r="Q202" s="400"/>
      <c r="R202" s="401"/>
      <c r="S202" s="401"/>
      <c r="U202" s="31"/>
    </row>
    <row r="203" spans="2:21" hidden="1" outlineLevel="1" x14ac:dyDescent="0.2">
      <c r="B203" s="52"/>
      <c r="C203" s="52"/>
      <c r="D203" s="52"/>
      <c r="E203" s="109"/>
      <c r="F203" s="52"/>
      <c r="G203" s="52"/>
      <c r="H203" s="52"/>
      <c r="I203" s="52"/>
      <c r="J203" s="52"/>
      <c r="K203" s="52"/>
      <c r="L203" s="52"/>
      <c r="M203" s="52"/>
      <c r="N203" s="52"/>
      <c r="O203" s="52"/>
      <c r="Q203" s="400"/>
      <c r="R203" s="401"/>
      <c r="S203" s="401"/>
      <c r="U203" s="31"/>
    </row>
    <row r="204" spans="2:21" hidden="1" outlineLevel="1" x14ac:dyDescent="0.2">
      <c r="B204" s="52"/>
      <c r="C204" s="52"/>
      <c r="D204" s="52"/>
      <c r="E204" s="109"/>
      <c r="F204" s="52"/>
      <c r="G204" s="52"/>
      <c r="H204" s="52"/>
      <c r="I204" s="52"/>
      <c r="J204" s="52"/>
      <c r="K204" s="52"/>
      <c r="L204" s="52"/>
      <c r="M204" s="52"/>
      <c r="N204" s="52"/>
      <c r="O204" s="52"/>
      <c r="Q204" s="400"/>
      <c r="R204" s="401"/>
      <c r="S204" s="401"/>
      <c r="U204" s="31"/>
    </row>
    <row r="205" spans="2:21" hidden="1" outlineLevel="1" x14ac:dyDescent="0.2">
      <c r="B205" s="52"/>
      <c r="C205" s="52"/>
      <c r="D205" s="52"/>
      <c r="E205" s="109"/>
      <c r="F205" s="52"/>
      <c r="G205" s="52"/>
      <c r="H205" s="52"/>
      <c r="I205" s="52"/>
      <c r="J205" s="52"/>
      <c r="K205" s="52"/>
      <c r="L205" s="52"/>
      <c r="M205" s="52"/>
      <c r="N205" s="52"/>
      <c r="O205" s="52"/>
      <c r="Q205" s="400"/>
      <c r="R205" s="401"/>
      <c r="S205" s="401"/>
      <c r="U205" s="31"/>
    </row>
    <row r="206" spans="2:21" hidden="1" outlineLevel="1" x14ac:dyDescent="0.2">
      <c r="B206" s="52"/>
      <c r="C206" s="52"/>
      <c r="D206" s="52"/>
      <c r="E206" s="109"/>
      <c r="F206" s="52"/>
      <c r="G206" s="52"/>
      <c r="H206" s="52"/>
      <c r="I206" s="52"/>
      <c r="J206" s="52"/>
      <c r="K206" s="52"/>
      <c r="L206" s="52"/>
      <c r="M206" s="52"/>
      <c r="N206" s="52"/>
      <c r="O206" s="52"/>
      <c r="Q206" s="400"/>
      <c r="R206" s="401"/>
      <c r="S206" s="401"/>
      <c r="U206" s="31"/>
    </row>
    <row r="207" spans="2:21" hidden="1" outlineLevel="1" x14ac:dyDescent="0.2">
      <c r="B207" s="52"/>
      <c r="C207" s="52"/>
      <c r="D207" s="52"/>
      <c r="E207" s="109"/>
      <c r="F207" s="52"/>
      <c r="G207" s="52"/>
      <c r="H207" s="52"/>
      <c r="I207" s="52"/>
      <c r="J207" s="52"/>
      <c r="K207" s="52"/>
      <c r="L207" s="52"/>
      <c r="M207" s="52"/>
      <c r="N207" s="52"/>
      <c r="O207" s="52"/>
      <c r="Q207" s="400"/>
      <c r="R207" s="401"/>
      <c r="S207" s="401"/>
      <c r="U207" s="31"/>
    </row>
    <row r="208" spans="2:21" hidden="1" outlineLevel="1" x14ac:dyDescent="0.2">
      <c r="B208" s="52"/>
      <c r="C208" s="52"/>
      <c r="D208" s="52"/>
      <c r="E208" s="109"/>
      <c r="F208" s="52"/>
      <c r="G208" s="52"/>
      <c r="H208" s="52"/>
      <c r="I208" s="52"/>
      <c r="J208" s="52"/>
      <c r="K208" s="52"/>
      <c r="L208" s="52"/>
      <c r="M208" s="52"/>
      <c r="N208" s="52"/>
      <c r="O208" s="52"/>
      <c r="Q208" s="400"/>
      <c r="R208" s="401"/>
      <c r="S208" s="401"/>
      <c r="U208" s="31"/>
    </row>
    <row r="209" spans="2:21" hidden="1" outlineLevel="1" x14ac:dyDescent="0.2">
      <c r="B209" s="52"/>
      <c r="C209" s="52"/>
      <c r="D209" s="52"/>
      <c r="E209" s="109"/>
      <c r="F209" s="52"/>
      <c r="G209" s="52"/>
      <c r="H209" s="52"/>
      <c r="I209" s="52"/>
      <c r="J209" s="52"/>
      <c r="K209" s="52"/>
      <c r="L209" s="52"/>
      <c r="M209" s="52"/>
      <c r="N209" s="52"/>
      <c r="O209" s="52"/>
      <c r="Q209" s="400"/>
      <c r="R209" s="401"/>
      <c r="S209" s="401"/>
      <c r="U209" s="31"/>
    </row>
    <row r="210" spans="2:21" hidden="1" outlineLevel="1" x14ac:dyDescent="0.2">
      <c r="B210" s="52"/>
      <c r="C210" s="52"/>
      <c r="D210" s="52"/>
      <c r="E210" s="109"/>
      <c r="F210" s="52"/>
      <c r="G210" s="52"/>
      <c r="H210" s="52"/>
      <c r="I210" s="52"/>
      <c r="J210" s="52"/>
      <c r="K210" s="52"/>
      <c r="L210" s="52"/>
      <c r="M210" s="52"/>
      <c r="N210" s="52"/>
      <c r="O210" s="52"/>
      <c r="Q210" s="400"/>
      <c r="R210" s="401"/>
      <c r="S210" s="401"/>
      <c r="U210" s="31"/>
    </row>
    <row r="211" spans="2:21" hidden="1" outlineLevel="1" x14ac:dyDescent="0.2">
      <c r="B211" s="52"/>
      <c r="C211" s="52"/>
      <c r="D211" s="52"/>
      <c r="E211" s="109"/>
      <c r="F211" s="52"/>
      <c r="G211" s="52"/>
      <c r="H211" s="52"/>
      <c r="I211" s="52"/>
      <c r="J211" s="52"/>
      <c r="K211" s="52"/>
      <c r="L211" s="52"/>
      <c r="M211" s="52"/>
      <c r="N211" s="52"/>
      <c r="O211" s="52"/>
      <c r="Q211" s="400"/>
      <c r="R211" s="401"/>
      <c r="S211" s="401"/>
      <c r="U211" s="31"/>
    </row>
    <row r="212" spans="2:21" hidden="1" outlineLevel="1" x14ac:dyDescent="0.2">
      <c r="B212" s="52"/>
      <c r="C212" s="52"/>
      <c r="D212" s="52"/>
      <c r="E212" s="109"/>
      <c r="F212" s="52"/>
      <c r="G212" s="52"/>
      <c r="H212" s="52"/>
      <c r="I212" s="52"/>
      <c r="J212" s="52"/>
      <c r="K212" s="52"/>
      <c r="L212" s="52"/>
      <c r="M212" s="52"/>
      <c r="N212" s="52"/>
      <c r="O212" s="52"/>
      <c r="Q212" s="400"/>
      <c r="R212" s="401"/>
      <c r="S212" s="401"/>
      <c r="U212" s="31"/>
    </row>
    <row r="213" spans="2:21" hidden="1" outlineLevel="1" x14ac:dyDescent="0.2">
      <c r="B213" s="52"/>
      <c r="C213" s="52"/>
      <c r="D213" s="52"/>
      <c r="E213" s="109"/>
      <c r="F213" s="52"/>
      <c r="G213" s="52"/>
      <c r="H213" s="52"/>
      <c r="I213" s="52"/>
      <c r="J213" s="52"/>
      <c r="K213" s="52"/>
      <c r="L213" s="52"/>
      <c r="M213" s="52"/>
      <c r="N213" s="52"/>
      <c r="O213" s="52"/>
      <c r="Q213" s="400"/>
      <c r="R213" s="401"/>
      <c r="S213" s="401"/>
      <c r="U213" s="31"/>
    </row>
    <row r="214" spans="2:21" hidden="1" outlineLevel="1" x14ac:dyDescent="0.2">
      <c r="B214" s="52"/>
      <c r="C214" s="52"/>
      <c r="D214" s="52"/>
      <c r="E214" s="109"/>
      <c r="F214" s="52"/>
      <c r="G214" s="52"/>
      <c r="H214" s="52"/>
      <c r="I214" s="52"/>
      <c r="J214" s="52"/>
      <c r="K214" s="52"/>
      <c r="L214" s="52"/>
      <c r="M214" s="52"/>
      <c r="N214" s="52"/>
      <c r="O214" s="52"/>
      <c r="Q214" s="400"/>
      <c r="R214" s="401"/>
      <c r="S214" s="401"/>
      <c r="U214" s="31"/>
    </row>
    <row r="215" spans="2:21" hidden="1" outlineLevel="1" x14ac:dyDescent="0.2">
      <c r="B215" s="52"/>
      <c r="C215" s="52"/>
      <c r="D215" s="52"/>
      <c r="E215" s="109"/>
      <c r="F215" s="52"/>
      <c r="G215" s="52"/>
      <c r="H215" s="52"/>
      <c r="I215" s="52"/>
      <c r="J215" s="52"/>
      <c r="K215" s="52"/>
      <c r="L215" s="52"/>
      <c r="M215" s="52"/>
      <c r="N215" s="52"/>
      <c r="O215" s="52"/>
      <c r="Q215" s="400"/>
      <c r="R215" s="401"/>
      <c r="S215" s="401"/>
      <c r="U215" s="31"/>
    </row>
    <row r="216" spans="2:21" hidden="1" outlineLevel="1" x14ac:dyDescent="0.2">
      <c r="B216" s="52"/>
      <c r="C216" s="52"/>
      <c r="D216" s="52"/>
      <c r="E216" s="109"/>
      <c r="F216" s="52"/>
      <c r="G216" s="52"/>
      <c r="H216" s="52"/>
      <c r="I216" s="52"/>
      <c r="J216" s="52"/>
      <c r="K216" s="52"/>
      <c r="L216" s="52"/>
      <c r="M216" s="52"/>
      <c r="N216" s="52"/>
      <c r="O216" s="52"/>
      <c r="Q216" s="400"/>
      <c r="R216" s="401"/>
      <c r="S216" s="401"/>
      <c r="U216" s="31"/>
    </row>
    <row r="217" spans="2:21" hidden="1" outlineLevel="1" x14ac:dyDescent="0.2">
      <c r="B217" s="52"/>
      <c r="C217" s="52"/>
      <c r="D217" s="52"/>
      <c r="E217" s="109"/>
      <c r="F217" s="52"/>
      <c r="G217" s="52"/>
      <c r="H217" s="52"/>
      <c r="I217" s="52"/>
      <c r="J217" s="52"/>
      <c r="K217" s="52"/>
      <c r="L217" s="52"/>
      <c r="M217" s="52"/>
      <c r="N217" s="52"/>
      <c r="O217" s="52"/>
      <c r="Q217" s="400"/>
      <c r="R217" s="401"/>
      <c r="S217" s="401"/>
      <c r="U217" s="31"/>
    </row>
    <row r="218" spans="2:21" hidden="1" outlineLevel="1" x14ac:dyDescent="0.2">
      <c r="B218" s="52"/>
      <c r="C218" s="52"/>
      <c r="D218" s="52"/>
      <c r="E218" s="109"/>
      <c r="F218" s="52"/>
      <c r="G218" s="52"/>
      <c r="H218" s="52"/>
      <c r="I218" s="52"/>
      <c r="J218" s="52"/>
      <c r="K218" s="52"/>
      <c r="L218" s="52"/>
      <c r="M218" s="52"/>
      <c r="N218" s="52"/>
      <c r="O218" s="52"/>
      <c r="Q218" s="400"/>
      <c r="R218" s="401"/>
      <c r="S218" s="401"/>
      <c r="U218" s="31"/>
    </row>
    <row r="219" spans="2:21" hidden="1" outlineLevel="1" x14ac:dyDescent="0.2">
      <c r="B219" s="52"/>
      <c r="C219" s="52"/>
      <c r="D219" s="52"/>
      <c r="E219" s="109"/>
      <c r="F219" s="52"/>
      <c r="G219" s="52"/>
      <c r="H219" s="52"/>
      <c r="I219" s="52"/>
      <c r="J219" s="52"/>
      <c r="K219" s="52"/>
      <c r="L219" s="52"/>
      <c r="M219" s="52"/>
      <c r="N219" s="52"/>
      <c r="O219" s="52"/>
      <c r="Q219" s="400"/>
      <c r="R219" s="401"/>
      <c r="S219" s="401"/>
      <c r="U219" s="31"/>
    </row>
    <row r="220" spans="2:21" hidden="1" outlineLevel="1" x14ac:dyDescent="0.2">
      <c r="B220" s="52"/>
      <c r="C220" s="52"/>
      <c r="D220" s="52"/>
      <c r="E220" s="109"/>
      <c r="F220" s="52"/>
      <c r="G220" s="52"/>
      <c r="H220" s="52"/>
      <c r="I220" s="52"/>
      <c r="J220" s="52"/>
      <c r="K220" s="52"/>
      <c r="L220" s="52"/>
      <c r="M220" s="52"/>
      <c r="N220" s="52"/>
      <c r="O220" s="52"/>
      <c r="Q220" s="400"/>
      <c r="R220" s="401"/>
      <c r="S220" s="401"/>
      <c r="U220" s="31"/>
    </row>
    <row r="221" spans="2:21" hidden="1" outlineLevel="1" x14ac:dyDescent="0.2">
      <c r="B221" s="52"/>
      <c r="C221" s="52"/>
      <c r="D221" s="52"/>
      <c r="E221" s="109"/>
      <c r="F221" s="52"/>
      <c r="G221" s="52"/>
      <c r="H221" s="52"/>
      <c r="I221" s="52"/>
      <c r="J221" s="52"/>
      <c r="K221" s="52"/>
      <c r="L221" s="52"/>
      <c r="M221" s="52"/>
      <c r="N221" s="52"/>
      <c r="O221" s="52"/>
      <c r="Q221" s="400"/>
      <c r="R221" s="401"/>
      <c r="S221" s="401"/>
      <c r="U221" s="31"/>
    </row>
    <row r="222" spans="2:21" hidden="1" outlineLevel="1" x14ac:dyDescent="0.2">
      <c r="B222" s="52"/>
      <c r="C222" s="52"/>
      <c r="D222" s="52"/>
      <c r="E222" s="109"/>
      <c r="F222" s="52"/>
      <c r="G222" s="52"/>
      <c r="H222" s="52"/>
      <c r="I222" s="52"/>
      <c r="J222" s="52"/>
      <c r="K222" s="52"/>
      <c r="L222" s="52"/>
      <c r="M222" s="52"/>
      <c r="N222" s="52"/>
      <c r="O222" s="52"/>
      <c r="Q222" s="400"/>
      <c r="R222" s="401"/>
      <c r="S222" s="401"/>
      <c r="U222" s="31"/>
    </row>
    <row r="223" spans="2:21" hidden="1" outlineLevel="1" x14ac:dyDescent="0.2">
      <c r="B223" s="52"/>
      <c r="C223" s="52"/>
      <c r="D223" s="52"/>
      <c r="E223" s="109"/>
      <c r="F223" s="52"/>
      <c r="G223" s="52"/>
      <c r="H223" s="52"/>
      <c r="I223" s="52"/>
      <c r="J223" s="52"/>
      <c r="K223" s="52"/>
      <c r="L223" s="52"/>
      <c r="M223" s="52"/>
      <c r="N223" s="52"/>
      <c r="O223" s="52"/>
      <c r="Q223" s="400"/>
      <c r="R223" s="401"/>
      <c r="S223" s="401"/>
      <c r="U223" s="31"/>
    </row>
    <row r="224" spans="2:21" hidden="1" outlineLevel="1" x14ac:dyDescent="0.2">
      <c r="B224" s="52"/>
      <c r="C224" s="52"/>
      <c r="D224" s="52"/>
      <c r="E224" s="109"/>
      <c r="F224" s="52"/>
      <c r="G224" s="52"/>
      <c r="H224" s="52"/>
      <c r="I224" s="52"/>
      <c r="J224" s="52"/>
      <c r="K224" s="52"/>
      <c r="L224" s="52"/>
      <c r="M224" s="52"/>
      <c r="N224" s="52"/>
      <c r="O224" s="52"/>
      <c r="Q224" s="400"/>
      <c r="R224" s="401"/>
      <c r="S224" s="401"/>
      <c r="U224" s="31"/>
    </row>
    <row r="225" spans="1:23" hidden="1" outlineLevel="1" x14ac:dyDescent="0.2">
      <c r="B225" s="52"/>
      <c r="C225" s="52"/>
      <c r="D225" s="52"/>
      <c r="E225" s="109"/>
      <c r="F225" s="52"/>
      <c r="G225" s="52"/>
      <c r="H225" s="52"/>
      <c r="I225" s="52"/>
      <c r="J225" s="52"/>
      <c r="K225" s="52"/>
      <c r="L225" s="52"/>
      <c r="M225" s="52"/>
      <c r="N225" s="52"/>
      <c r="O225" s="52"/>
      <c r="Q225" s="400"/>
      <c r="R225" s="401"/>
      <c r="S225" s="401"/>
      <c r="U225" s="31"/>
    </row>
    <row r="226" spans="1:23" hidden="1" outlineLevel="1" x14ac:dyDescent="0.2">
      <c r="B226" s="52"/>
      <c r="C226" s="52"/>
      <c r="D226" s="52"/>
      <c r="E226" s="109"/>
      <c r="F226" s="52"/>
      <c r="G226" s="52"/>
      <c r="H226" s="52"/>
      <c r="I226" s="52"/>
      <c r="J226" s="52"/>
      <c r="K226" s="52"/>
      <c r="L226" s="52"/>
      <c r="M226" s="52"/>
      <c r="N226" s="52"/>
      <c r="O226" s="52"/>
      <c r="Q226" s="400"/>
      <c r="R226" s="401"/>
      <c r="S226" s="401"/>
      <c r="U226" s="31"/>
    </row>
    <row r="227" spans="1:23" hidden="1" outlineLevel="1" x14ac:dyDescent="0.2">
      <c r="B227" s="52"/>
      <c r="C227" s="52"/>
      <c r="D227" s="52"/>
      <c r="E227" s="109"/>
      <c r="F227" s="52"/>
      <c r="G227" s="52"/>
      <c r="H227" s="52"/>
      <c r="I227" s="52"/>
      <c r="J227" s="52"/>
      <c r="K227" s="52"/>
      <c r="L227" s="52"/>
      <c r="M227" s="52"/>
      <c r="N227" s="52"/>
      <c r="O227" s="52"/>
      <c r="Q227" s="400"/>
      <c r="R227" s="401"/>
      <c r="S227" s="401"/>
      <c r="U227" s="31"/>
      <c r="W227" s="51"/>
    </row>
    <row r="228" spans="1:23" collapsed="1" x14ac:dyDescent="0.2">
      <c r="B228" s="52">
        <f>'C-IS'!B44</f>
        <v>-438666</v>
      </c>
      <c r="C228" s="52">
        <f>'C-IS'!C44</f>
        <v>-472799</v>
      </c>
      <c r="D228" s="52">
        <f>'C-IS'!D44</f>
        <v>12237</v>
      </c>
      <c r="E228" s="109">
        <f>'C-IS'!E44</f>
        <v>0</v>
      </c>
      <c r="F228" s="52">
        <f>'C-IS'!F44</f>
        <v>-8944</v>
      </c>
      <c r="G228" s="52">
        <f>'C-IS'!G44</f>
        <v>364853</v>
      </c>
      <c r="H228" s="52">
        <f>'C-IS'!H44</f>
        <v>-1171325</v>
      </c>
      <c r="I228" s="52">
        <f>'C-IS'!I44</f>
        <v>0</v>
      </c>
      <c r="J228" s="52">
        <f>'C-IS'!J44</f>
        <v>-53</v>
      </c>
      <c r="K228" s="52">
        <f>'C-IS'!K44</f>
        <v>-1674</v>
      </c>
      <c r="L228" s="52">
        <f>'C-IS'!L44</f>
        <v>-1400</v>
      </c>
      <c r="M228" s="52">
        <f>'C-IS'!M44</f>
        <v>-281264</v>
      </c>
      <c r="N228" s="52">
        <f>'C-IS'!N44</f>
        <v>-1400</v>
      </c>
      <c r="O228" s="52">
        <f>'C-IS'!O44</f>
        <v>0</v>
      </c>
      <c r="P228" s="31">
        <f>SUM(B228:O228)</f>
        <v>-2000435</v>
      </c>
      <c r="Q228" s="400" t="s">
        <v>1330</v>
      </c>
      <c r="R228" s="401">
        <f>'C-IS'!R35</f>
        <v>1059958</v>
      </c>
      <c r="S228" s="401">
        <f>'C-IS'!S35</f>
        <v>829654</v>
      </c>
      <c r="T228" s="31">
        <f>P228-R228+S228-R229+S229-R230+S230-R231+S231</f>
        <v>-2041028</v>
      </c>
      <c r="V228" s="358">
        <v>-2041</v>
      </c>
      <c r="W228" s="51">
        <f>V175+V228</f>
        <v>-100220</v>
      </c>
    </row>
    <row r="229" spans="1:23" hidden="1" outlineLevel="1" x14ac:dyDescent="0.2">
      <c r="B229" s="52"/>
      <c r="C229" s="52"/>
      <c r="D229" s="52"/>
      <c r="E229" s="109"/>
      <c r="F229" s="52"/>
      <c r="G229" s="52"/>
      <c r="H229" s="52"/>
      <c r="I229" s="52"/>
      <c r="J229" s="52"/>
      <c r="K229" s="52"/>
      <c r="L229" s="52"/>
      <c r="M229" s="52"/>
      <c r="N229" s="52"/>
      <c r="O229" s="52"/>
      <c r="Q229" s="400" t="s">
        <v>1328</v>
      </c>
      <c r="R229" s="401"/>
      <c r="S229" s="401">
        <f>'Conso C adjs'!$E$47</f>
        <v>47871</v>
      </c>
    </row>
    <row r="230" spans="1:23" hidden="1" outlineLevel="1" x14ac:dyDescent="0.2">
      <c r="B230" s="52"/>
      <c r="C230" s="52"/>
      <c r="D230" s="52"/>
      <c r="E230" s="109"/>
      <c r="F230" s="52"/>
      <c r="G230" s="52"/>
      <c r="H230" s="52"/>
      <c r="I230" s="52"/>
      <c r="J230" s="52"/>
      <c r="K230" s="52"/>
      <c r="L230" s="52"/>
      <c r="M230" s="52"/>
      <c r="N230" s="52"/>
      <c r="O230" s="52"/>
      <c r="Q230" s="400" t="s">
        <v>1324</v>
      </c>
      <c r="R230" s="401"/>
      <c r="S230" s="401">
        <f>'Conso C adjs'!$E$17</f>
        <v>141840</v>
      </c>
    </row>
    <row r="231" spans="1:23" hidden="1" outlineLevel="1" x14ac:dyDescent="0.2">
      <c r="B231" s="52"/>
      <c r="C231" s="52"/>
      <c r="D231" s="52"/>
      <c r="E231" s="109"/>
      <c r="F231" s="52"/>
      <c r="G231" s="52"/>
      <c r="H231" s="52"/>
      <c r="I231" s="52"/>
      <c r="J231" s="52"/>
      <c r="K231" s="52"/>
      <c r="L231" s="52"/>
      <c r="M231" s="52"/>
      <c r="N231" s="52"/>
      <c r="O231" s="52"/>
      <c r="Q231" s="400"/>
      <c r="R231" s="401"/>
      <c r="S231" s="401"/>
    </row>
    <row r="232" spans="1:23" collapsed="1" x14ac:dyDescent="0.2">
      <c r="A232" s="64" t="s">
        <v>361</v>
      </c>
      <c r="B232" s="52">
        <v>0</v>
      </c>
      <c r="C232" s="52">
        <v>0</v>
      </c>
      <c r="D232" s="52">
        <v>0</v>
      </c>
      <c r="E232" s="109">
        <v>0</v>
      </c>
      <c r="F232" s="52">
        <v>0</v>
      </c>
      <c r="G232" s="52">
        <v>0</v>
      </c>
      <c r="H232" s="52">
        <v>0</v>
      </c>
      <c r="I232" s="52">
        <v>0</v>
      </c>
      <c r="J232" s="52">
        <v>0</v>
      </c>
      <c r="K232" s="52">
        <v>0</v>
      </c>
      <c r="L232" s="52">
        <v>0</v>
      </c>
      <c r="M232" s="52">
        <v>0</v>
      </c>
      <c r="N232" s="52">
        <v>0</v>
      </c>
      <c r="O232" s="52">
        <v>0</v>
      </c>
      <c r="P232" s="31">
        <f>SUM(B232:O232)</f>
        <v>0</v>
      </c>
      <c r="Q232" s="405" t="s">
        <v>1229</v>
      </c>
      <c r="R232" s="57"/>
      <c r="S232" s="57">
        <f>'Consol 2017 Adj'!$E$29</f>
        <v>14847051</v>
      </c>
      <c r="T232" s="31">
        <f>P232-R232-R234+S234+S232-R233+S233-R235+S235-R236+S236-R242+S242-R237+S237-R243+S243-R244+S244-R245+S245-R238+S238-R239+S239-R240+S240-R241+S241</f>
        <v>15064172</v>
      </c>
      <c r="V232" s="182">
        <v>15064</v>
      </c>
    </row>
    <row r="233" spans="1:23" hidden="1" outlineLevel="1" x14ac:dyDescent="0.2">
      <c r="A233" s="64"/>
      <c r="B233" s="52"/>
      <c r="C233" s="52"/>
      <c r="D233" s="52"/>
      <c r="E233" s="109"/>
      <c r="F233" s="52"/>
      <c r="G233" s="52"/>
      <c r="H233" s="52"/>
      <c r="I233" s="52"/>
      <c r="J233" s="52"/>
      <c r="K233" s="52"/>
      <c r="L233" s="52"/>
      <c r="M233" s="52"/>
      <c r="N233" s="52"/>
      <c r="O233" s="52"/>
      <c r="Q233" s="405">
        <v>5</v>
      </c>
      <c r="R233" s="57"/>
      <c r="S233" s="57">
        <f>'Consol 2017 Adj'!$E$75</f>
        <v>406832</v>
      </c>
      <c r="V233" s="75"/>
    </row>
    <row r="234" spans="1:23" hidden="1" outlineLevel="1" x14ac:dyDescent="0.2">
      <c r="A234" s="64"/>
      <c r="B234" s="52"/>
      <c r="C234" s="52"/>
      <c r="D234" s="52"/>
      <c r="E234" s="109"/>
      <c r="F234" s="52"/>
      <c r="G234" s="52"/>
      <c r="H234" s="52"/>
      <c r="I234" s="52"/>
      <c r="J234" s="52"/>
      <c r="K234" s="52"/>
      <c r="L234" s="52"/>
      <c r="M234" s="52"/>
      <c r="N234" s="52"/>
      <c r="O234" s="52"/>
      <c r="Q234" s="400" t="s">
        <v>1324</v>
      </c>
      <c r="R234" s="401">
        <f>'Conso C adjs'!$D$16</f>
        <v>141840</v>
      </c>
      <c r="S234" s="401"/>
    </row>
    <row r="235" spans="1:23" hidden="1" outlineLevel="1" x14ac:dyDescent="0.2">
      <c r="A235" s="64"/>
      <c r="B235" s="52"/>
      <c r="C235" s="52"/>
      <c r="D235" s="52"/>
      <c r="E235" s="109"/>
      <c r="F235" s="52"/>
      <c r="G235" s="52"/>
      <c r="H235" s="52"/>
      <c r="I235" s="52"/>
      <c r="J235" s="52"/>
      <c r="K235" s="52"/>
      <c r="L235" s="52"/>
      <c r="M235" s="52"/>
      <c r="N235" s="52"/>
      <c r="O235" s="52"/>
      <c r="Q235" s="400" t="s">
        <v>1328</v>
      </c>
      <c r="R235" s="401">
        <f>'Conso C adjs'!$D$46</f>
        <v>47871</v>
      </c>
      <c r="S235" s="401"/>
    </row>
    <row r="236" spans="1:23" hidden="1" outlineLevel="1" x14ac:dyDescent="0.2">
      <c r="A236" s="64"/>
      <c r="B236" s="52"/>
      <c r="C236" s="52"/>
      <c r="D236" s="52"/>
      <c r="E236" s="109"/>
      <c r="F236" s="52"/>
      <c r="G236" s="52"/>
      <c r="H236" s="52"/>
      <c r="I236" s="52"/>
      <c r="J236" s="52"/>
      <c r="K236" s="52"/>
      <c r="L236" s="52"/>
      <c r="M236" s="52"/>
      <c r="N236" s="52"/>
      <c r="O236" s="52"/>
      <c r="Q236" s="400"/>
      <c r="R236" s="401"/>
      <c r="S236" s="401"/>
    </row>
    <row r="237" spans="1:23" hidden="1" outlineLevel="1" x14ac:dyDescent="0.2">
      <c r="A237" s="64"/>
      <c r="B237" s="52"/>
      <c r="C237" s="52"/>
      <c r="D237" s="52"/>
      <c r="E237" s="109"/>
      <c r="F237" s="52"/>
      <c r="G237" s="52"/>
      <c r="H237" s="52"/>
      <c r="I237" s="52"/>
      <c r="J237" s="52"/>
      <c r="K237" s="52"/>
      <c r="L237" s="52"/>
      <c r="M237" s="52"/>
      <c r="N237" s="52"/>
      <c r="O237" s="52"/>
      <c r="Q237" s="400"/>
      <c r="R237" s="401"/>
      <c r="S237" s="401"/>
    </row>
    <row r="238" spans="1:23" hidden="1" outlineLevel="1" x14ac:dyDescent="0.2">
      <c r="A238" s="64"/>
      <c r="B238" s="52"/>
      <c r="C238" s="52"/>
      <c r="D238" s="52"/>
      <c r="E238" s="109"/>
      <c r="F238" s="52"/>
      <c r="G238" s="52"/>
      <c r="H238" s="52"/>
      <c r="I238" s="52"/>
      <c r="J238" s="52"/>
      <c r="K238" s="52"/>
      <c r="L238" s="52"/>
      <c r="M238" s="52"/>
      <c r="N238" s="52"/>
      <c r="O238" s="52"/>
      <c r="Q238" s="400"/>
      <c r="R238" s="401"/>
      <c r="S238" s="401"/>
    </row>
    <row r="239" spans="1:23" hidden="1" outlineLevel="1" x14ac:dyDescent="0.2">
      <c r="A239" s="64"/>
      <c r="B239" s="52"/>
      <c r="C239" s="52"/>
      <c r="D239" s="52"/>
      <c r="E239" s="109"/>
      <c r="F239" s="52"/>
      <c r="G239" s="52"/>
      <c r="H239" s="52"/>
      <c r="I239" s="52"/>
      <c r="J239" s="52"/>
      <c r="K239" s="52"/>
      <c r="L239" s="52"/>
      <c r="M239" s="52"/>
      <c r="N239" s="52"/>
      <c r="O239" s="52"/>
      <c r="Q239" s="400"/>
      <c r="R239" s="401"/>
      <c r="S239" s="401"/>
    </row>
    <row r="240" spans="1:23" hidden="1" outlineLevel="1" x14ac:dyDescent="0.2">
      <c r="A240" s="64"/>
      <c r="B240" s="52"/>
      <c r="C240" s="52"/>
      <c r="D240" s="52"/>
      <c r="E240" s="109"/>
      <c r="F240" s="52"/>
      <c r="G240" s="52"/>
      <c r="H240" s="52"/>
      <c r="I240" s="52"/>
      <c r="J240" s="52"/>
      <c r="K240" s="52"/>
      <c r="L240" s="52"/>
      <c r="M240" s="52"/>
      <c r="N240" s="52"/>
      <c r="O240" s="52"/>
      <c r="Q240" s="400"/>
      <c r="R240" s="401"/>
      <c r="S240" s="401"/>
    </row>
    <row r="241" spans="1:22" hidden="1" outlineLevel="1" x14ac:dyDescent="0.2">
      <c r="A241" s="64"/>
      <c r="B241" s="52"/>
      <c r="C241" s="52"/>
      <c r="D241" s="52"/>
      <c r="E241" s="109"/>
      <c r="F241" s="52"/>
      <c r="G241" s="52"/>
      <c r="H241" s="52"/>
      <c r="I241" s="52"/>
      <c r="J241" s="52"/>
      <c r="K241" s="52"/>
      <c r="L241" s="52"/>
      <c r="M241" s="52"/>
      <c r="N241" s="52"/>
      <c r="O241" s="52"/>
      <c r="Q241" s="400"/>
      <c r="R241" s="401"/>
      <c r="S241" s="401"/>
    </row>
    <row r="242" spans="1:22" hidden="1" outlineLevel="1" x14ac:dyDescent="0.2">
      <c r="A242" s="64"/>
      <c r="B242" s="52"/>
      <c r="C242" s="52"/>
      <c r="D242" s="52"/>
      <c r="E242" s="109"/>
      <c r="F242" s="52"/>
      <c r="G242" s="52"/>
      <c r="H242" s="52"/>
      <c r="I242" s="52"/>
      <c r="J242" s="52"/>
      <c r="K242" s="52"/>
      <c r="L242" s="52"/>
      <c r="M242" s="52"/>
      <c r="N242" s="52"/>
      <c r="O242" s="52"/>
      <c r="Q242" s="400"/>
      <c r="R242" s="401"/>
      <c r="S242" s="401"/>
    </row>
    <row r="243" spans="1:22" hidden="1" outlineLevel="1" x14ac:dyDescent="0.2">
      <c r="A243" s="64"/>
      <c r="B243" s="52"/>
      <c r="C243" s="52"/>
      <c r="D243" s="52"/>
      <c r="E243" s="109"/>
      <c r="F243" s="52"/>
      <c r="G243" s="52"/>
      <c r="H243" s="52"/>
      <c r="I243" s="52"/>
      <c r="J243" s="52"/>
      <c r="K243" s="52"/>
      <c r="L243" s="52"/>
      <c r="M243" s="52"/>
      <c r="N243" s="52"/>
      <c r="O243" s="52"/>
      <c r="Q243" s="400"/>
      <c r="R243" s="401"/>
      <c r="S243" s="401"/>
    </row>
    <row r="244" spans="1:22" hidden="1" outlineLevel="1" x14ac:dyDescent="0.2">
      <c r="A244" s="64"/>
      <c r="B244" s="52"/>
      <c r="C244" s="52"/>
      <c r="D244" s="52"/>
      <c r="E244" s="109"/>
      <c r="F244" s="52"/>
      <c r="G244" s="52"/>
      <c r="H244" s="52"/>
      <c r="I244" s="52"/>
      <c r="J244" s="52"/>
      <c r="K244" s="52"/>
      <c r="L244" s="52"/>
      <c r="M244" s="52"/>
      <c r="N244" s="52"/>
      <c r="O244" s="52"/>
      <c r="Q244" s="400"/>
      <c r="R244" s="401"/>
      <c r="S244" s="401"/>
    </row>
    <row r="245" spans="1:22" hidden="1" outlineLevel="1" x14ac:dyDescent="0.2">
      <c r="A245" s="64"/>
      <c r="B245" s="52"/>
      <c r="C245" s="52"/>
      <c r="D245" s="52"/>
      <c r="E245" s="109"/>
      <c r="F245" s="52"/>
      <c r="G245" s="52"/>
      <c r="H245" s="52"/>
      <c r="I245" s="52"/>
      <c r="J245" s="52"/>
      <c r="K245" s="52"/>
      <c r="L245" s="52"/>
      <c r="M245" s="52"/>
      <c r="N245" s="52"/>
      <c r="O245" s="52"/>
      <c r="Q245" s="400"/>
      <c r="R245" s="401"/>
      <c r="S245" s="401"/>
    </row>
    <row r="246" spans="1:22" collapsed="1" x14ac:dyDescent="0.2">
      <c r="A246" s="38" t="s">
        <v>41</v>
      </c>
      <c r="B246" s="230">
        <f t="shared" ref="B246:P246" si="6">SUM(B139:B235)</f>
        <v>103712697</v>
      </c>
      <c r="C246" s="230">
        <f t="shared" si="6"/>
        <v>6523030</v>
      </c>
      <c r="D246" s="230">
        <f t="shared" si="6"/>
        <v>1904834</v>
      </c>
      <c r="E246" s="370">
        <f t="shared" si="6"/>
        <v>0</v>
      </c>
      <c r="F246" s="230">
        <f t="shared" si="6"/>
        <v>1434699</v>
      </c>
      <c r="G246" s="230">
        <f t="shared" si="6"/>
        <v>-2708494</v>
      </c>
      <c r="H246" s="230">
        <f t="shared" si="6"/>
        <v>-15155110</v>
      </c>
      <c r="I246" s="230">
        <f t="shared" si="6"/>
        <v>-66505</v>
      </c>
      <c r="J246" s="230">
        <f t="shared" si="6"/>
        <v>-644952</v>
      </c>
      <c r="K246" s="230">
        <f t="shared" si="6"/>
        <v>-336484</v>
      </c>
      <c r="L246" s="230">
        <f t="shared" si="6"/>
        <v>-3900</v>
      </c>
      <c r="M246" s="230">
        <f t="shared" si="6"/>
        <v>-4279130</v>
      </c>
      <c r="N246" s="230">
        <f t="shared" si="6"/>
        <v>-3900</v>
      </c>
      <c r="O246" s="230">
        <f t="shared" si="6"/>
        <v>-2500</v>
      </c>
      <c r="P246" s="35">
        <f t="shared" si="6"/>
        <v>90374285</v>
      </c>
      <c r="Q246" s="400"/>
      <c r="R246" s="401"/>
      <c r="S246" s="401"/>
      <c r="T246" s="35">
        <f>SUM(T139:T235)</f>
        <v>144934575</v>
      </c>
      <c r="V246" s="35">
        <f>SUM(V139:V235)</f>
        <v>144935</v>
      </c>
    </row>
    <row r="247" spans="1:22" x14ac:dyDescent="0.2">
      <c r="A247" s="38"/>
      <c r="B247" s="52"/>
      <c r="C247" s="52"/>
      <c r="D247" s="52"/>
      <c r="E247" s="109"/>
      <c r="F247" s="52"/>
      <c r="G247" s="52"/>
      <c r="H247" s="52"/>
      <c r="I247" s="52"/>
      <c r="J247" s="52"/>
      <c r="K247" s="52"/>
      <c r="L247" s="52"/>
      <c r="M247" s="52"/>
      <c r="N247" s="52"/>
      <c r="O247" s="52"/>
      <c r="Q247" s="400"/>
      <c r="R247" s="401"/>
      <c r="S247" s="401"/>
    </row>
    <row r="248" spans="1:22" x14ac:dyDescent="0.2">
      <c r="A248" s="38" t="s">
        <v>23</v>
      </c>
      <c r="B248" s="52"/>
      <c r="C248" s="52"/>
      <c r="D248" s="52"/>
      <c r="E248" s="109"/>
      <c r="F248" s="52"/>
      <c r="G248" s="52"/>
      <c r="H248" s="52"/>
      <c r="I248" s="52"/>
      <c r="J248" s="52"/>
      <c r="K248" s="52"/>
      <c r="L248" s="52"/>
      <c r="M248" s="52"/>
      <c r="N248" s="52"/>
      <c r="O248" s="52"/>
      <c r="Q248" s="400"/>
      <c r="R248" s="401"/>
      <c r="S248" s="401"/>
    </row>
    <row r="249" spans="1:22" x14ac:dyDescent="0.2">
      <c r="A249" s="34" t="s">
        <v>18</v>
      </c>
      <c r="B249" s="52">
        <f>128094+128543-28</f>
        <v>256609</v>
      </c>
      <c r="C249" s="52">
        <f>8107517+6838038</f>
        <v>14945555</v>
      </c>
      <c r="D249" s="52">
        <v>0</v>
      </c>
      <c r="E249" s="109">
        <v>0</v>
      </c>
      <c r="F249" s="52">
        <v>0</v>
      </c>
      <c r="G249" s="52">
        <f>108896</f>
        <v>108896</v>
      </c>
      <c r="H249" s="52">
        <v>0</v>
      </c>
      <c r="I249" s="52">
        <v>0</v>
      </c>
      <c r="J249" s="52">
        <v>0</v>
      </c>
      <c r="K249" s="52">
        <v>0</v>
      </c>
      <c r="L249" s="52">
        <v>0</v>
      </c>
      <c r="M249" s="52">
        <v>0</v>
      </c>
      <c r="N249" s="52">
        <v>0</v>
      </c>
      <c r="O249" s="52">
        <v>0</v>
      </c>
      <c r="P249" s="31">
        <f>SUM(B249:O249)</f>
        <v>15311060</v>
      </c>
      <c r="Q249" s="400"/>
      <c r="R249" s="401"/>
      <c r="S249" s="401"/>
      <c r="T249" s="31">
        <f>P249-R249+S249</f>
        <v>15311060</v>
      </c>
      <c r="V249" s="31">
        <v>15311</v>
      </c>
    </row>
    <row r="250" spans="1:22" x14ac:dyDescent="0.2">
      <c r="A250" s="34" t="s">
        <v>22</v>
      </c>
      <c r="B250" s="52">
        <v>0</v>
      </c>
      <c r="C250" s="52">
        <v>0</v>
      </c>
      <c r="D250" s="52">
        <v>0</v>
      </c>
      <c r="E250" s="109">
        <v>0</v>
      </c>
      <c r="F250" s="52">
        <v>0</v>
      </c>
      <c r="G250" s="52">
        <f>123160</f>
        <v>123160</v>
      </c>
      <c r="H250" s="52">
        <v>0</v>
      </c>
      <c r="I250" s="52">
        <v>0</v>
      </c>
      <c r="J250" s="52">
        <v>0</v>
      </c>
      <c r="K250" s="52">
        <v>0</v>
      </c>
      <c r="L250" s="52">
        <v>0</v>
      </c>
      <c r="M250" s="52">
        <v>0</v>
      </c>
      <c r="N250" s="52">
        <v>0</v>
      </c>
      <c r="O250" s="52">
        <v>0</v>
      </c>
      <c r="P250" s="31">
        <f>SUM(B250:O250)</f>
        <v>123160</v>
      </c>
      <c r="Q250" s="405" t="s">
        <v>1217</v>
      </c>
      <c r="R250" s="57"/>
      <c r="S250" s="57">
        <f>'Consol 2017 Adj'!$E$19</f>
        <v>47320000</v>
      </c>
      <c r="T250" s="31">
        <f>P250-R250-R251-R252-R253-R254-R255-R256-R257-R258-R259-R260+S260+S259+S258+S257+S256+S255+S250+S251+S252+S253+S254+U250-R261+S261</f>
        <v>7524513</v>
      </c>
      <c r="V250" s="31">
        <v>7524</v>
      </c>
    </row>
    <row r="251" spans="1:22" hidden="1" outlineLevel="1" x14ac:dyDescent="0.2">
      <c r="A251" s="34"/>
      <c r="B251" s="52"/>
      <c r="C251" s="52"/>
      <c r="D251" s="52"/>
      <c r="E251" s="109"/>
      <c r="F251" s="52"/>
      <c r="G251" s="52"/>
      <c r="H251" s="52"/>
      <c r="I251" s="52"/>
      <c r="J251" s="52"/>
      <c r="K251" s="52"/>
      <c r="L251" s="52"/>
      <c r="M251" s="52"/>
      <c r="N251" s="52"/>
      <c r="O251" s="52"/>
      <c r="Q251" s="405">
        <v>3</v>
      </c>
      <c r="R251" s="57">
        <f>'Consol 2017 Adj'!$D$62</f>
        <v>47320000</v>
      </c>
      <c r="S251" s="57"/>
    </row>
    <row r="252" spans="1:22" hidden="1" outlineLevel="1" x14ac:dyDescent="0.2">
      <c r="A252" s="34"/>
      <c r="B252" s="52"/>
      <c r="C252" s="52"/>
      <c r="D252" s="52"/>
      <c r="E252" s="109"/>
      <c r="F252" s="52"/>
      <c r="G252" s="52"/>
      <c r="H252" s="52"/>
      <c r="I252" s="52"/>
      <c r="J252" s="52"/>
      <c r="K252" s="52"/>
      <c r="L252" s="52"/>
      <c r="M252" s="52"/>
      <c r="N252" s="52"/>
      <c r="O252" s="52"/>
      <c r="Q252" s="405">
        <v>7</v>
      </c>
      <c r="R252" s="57"/>
      <c r="S252" s="57">
        <f>'Consol 2017 Adj'!$E$96</f>
        <v>699381</v>
      </c>
    </row>
    <row r="253" spans="1:22" hidden="1" outlineLevel="1" x14ac:dyDescent="0.2">
      <c r="A253" s="34"/>
      <c r="B253" s="52"/>
      <c r="C253" s="52"/>
      <c r="D253" s="52"/>
      <c r="E253" s="109"/>
      <c r="F253" s="52"/>
      <c r="G253" s="52"/>
      <c r="H253" s="52"/>
      <c r="I253" s="52"/>
      <c r="J253" s="52"/>
      <c r="K253" s="52"/>
      <c r="L253" s="52"/>
      <c r="M253" s="52"/>
      <c r="N253" s="52"/>
      <c r="O253" s="52"/>
      <c r="Q253" s="405" t="s">
        <v>1256</v>
      </c>
      <c r="R253" s="57"/>
      <c r="S253" s="57">
        <f>'Consol 2017 Adj'!$E$103</f>
        <v>6741280</v>
      </c>
    </row>
    <row r="254" spans="1:22" hidden="1" outlineLevel="1" x14ac:dyDescent="0.2">
      <c r="A254" s="34"/>
      <c r="B254" s="52"/>
      <c r="C254" s="52"/>
      <c r="D254" s="52"/>
      <c r="E254" s="109"/>
      <c r="F254" s="52"/>
      <c r="G254" s="52"/>
      <c r="H254" s="52"/>
      <c r="I254" s="52"/>
      <c r="J254" s="52"/>
      <c r="K254" s="52"/>
      <c r="L254" s="52"/>
      <c r="M254" s="52"/>
      <c r="N254" s="52"/>
      <c r="O254" s="52"/>
      <c r="Q254" s="405" t="s">
        <v>1260</v>
      </c>
      <c r="R254" s="57">
        <f>'Consol 2017 Adj'!$D$109</f>
        <v>19654</v>
      </c>
      <c r="S254" s="57"/>
    </row>
    <row r="255" spans="1:22" hidden="1" outlineLevel="1" x14ac:dyDescent="0.2">
      <c r="A255" s="34"/>
      <c r="B255" s="52"/>
      <c r="C255" s="52"/>
      <c r="D255" s="52"/>
      <c r="E255" s="109"/>
      <c r="F255" s="52"/>
      <c r="G255" s="52"/>
      <c r="H255" s="52"/>
      <c r="I255" s="52"/>
      <c r="J255" s="52"/>
      <c r="K255" s="52"/>
      <c r="L255" s="52"/>
      <c r="M255" s="52"/>
      <c r="N255" s="52"/>
      <c r="O255" s="52"/>
      <c r="Q255" s="405">
        <v>8</v>
      </c>
      <c r="R255" s="57"/>
      <c r="S255" s="57">
        <f>'Consol 2017 Adj'!$E$124</f>
        <v>656858</v>
      </c>
    </row>
    <row r="256" spans="1:22" hidden="1" outlineLevel="1" x14ac:dyDescent="0.2">
      <c r="A256" s="34"/>
      <c r="B256" s="52"/>
      <c r="C256" s="52"/>
      <c r="D256" s="52"/>
      <c r="E256" s="109"/>
      <c r="F256" s="52"/>
      <c r="G256" s="52"/>
      <c r="H256" s="52"/>
      <c r="I256" s="52"/>
      <c r="J256" s="52"/>
      <c r="K256" s="52"/>
      <c r="L256" s="52"/>
      <c r="M256" s="52"/>
      <c r="N256" s="52"/>
      <c r="O256" s="52"/>
      <c r="Q256" s="405" t="s">
        <v>1270</v>
      </c>
      <c r="R256" s="57">
        <f>'Consol 2017 Adj'!$D$131</f>
        <v>656858</v>
      </c>
      <c r="S256" s="57"/>
    </row>
    <row r="257" spans="1:24" hidden="1" outlineLevel="1" x14ac:dyDescent="0.2">
      <c r="A257" s="34"/>
      <c r="B257" s="52"/>
      <c r="C257" s="52"/>
      <c r="D257" s="52"/>
      <c r="E257" s="109"/>
      <c r="F257" s="52"/>
      <c r="G257" s="52"/>
      <c r="H257" s="52"/>
      <c r="I257" s="52"/>
      <c r="J257" s="52"/>
      <c r="K257" s="52"/>
      <c r="L257" s="52"/>
      <c r="M257" s="52"/>
      <c r="N257" s="52"/>
      <c r="O257" s="52"/>
      <c r="Q257" s="400" t="s">
        <v>1331</v>
      </c>
      <c r="R257" s="401">
        <f>'Conso C adjs'!$F$56</f>
        <v>19654</v>
      </c>
      <c r="S257" s="401"/>
    </row>
    <row r="258" spans="1:24" hidden="1" outlineLevel="1" x14ac:dyDescent="0.2">
      <c r="A258" s="34"/>
      <c r="B258" s="52"/>
      <c r="C258" s="52"/>
      <c r="D258" s="52"/>
      <c r="E258" s="109"/>
      <c r="F258" s="52"/>
      <c r="G258" s="52"/>
      <c r="H258" s="52"/>
      <c r="I258" s="52"/>
      <c r="J258" s="52"/>
      <c r="K258" s="52"/>
      <c r="L258" s="52"/>
      <c r="M258" s="52"/>
      <c r="N258" s="52"/>
      <c r="O258" s="52"/>
      <c r="Q258" s="400"/>
      <c r="R258" s="401"/>
      <c r="S258" s="401"/>
    </row>
    <row r="259" spans="1:24" hidden="1" outlineLevel="1" x14ac:dyDescent="0.2">
      <c r="A259" s="34"/>
      <c r="B259" s="52"/>
      <c r="C259" s="52"/>
      <c r="D259" s="52"/>
      <c r="E259" s="109"/>
      <c r="F259" s="52"/>
      <c r="G259" s="52"/>
      <c r="H259" s="52"/>
      <c r="I259" s="52"/>
      <c r="J259" s="52"/>
      <c r="K259" s="52"/>
      <c r="L259" s="52"/>
      <c r="M259" s="52"/>
      <c r="N259" s="52"/>
      <c r="O259" s="52"/>
      <c r="Q259" s="400"/>
      <c r="R259" s="401"/>
      <c r="S259" s="401"/>
    </row>
    <row r="260" spans="1:24" hidden="1" outlineLevel="1" x14ac:dyDescent="0.2">
      <c r="A260" s="34"/>
      <c r="B260" s="52"/>
      <c r="C260" s="52"/>
      <c r="D260" s="52"/>
      <c r="E260" s="109"/>
      <c r="F260" s="52"/>
      <c r="G260" s="52"/>
      <c r="H260" s="52"/>
      <c r="I260" s="52"/>
      <c r="J260" s="52"/>
      <c r="K260" s="52"/>
      <c r="L260" s="52"/>
      <c r="M260" s="52"/>
      <c r="N260" s="52"/>
      <c r="O260" s="52"/>
      <c r="Q260" s="400"/>
      <c r="R260" s="401"/>
      <c r="S260" s="401"/>
    </row>
    <row r="261" spans="1:24" hidden="1" outlineLevel="1" x14ac:dyDescent="0.2">
      <c r="A261" s="34"/>
      <c r="B261" s="52"/>
      <c r="C261" s="52"/>
      <c r="D261" s="52"/>
      <c r="E261" s="109"/>
      <c r="F261" s="52"/>
      <c r="G261" s="52"/>
      <c r="H261" s="52"/>
      <c r="I261" s="52"/>
      <c r="J261" s="52"/>
      <c r="K261" s="52"/>
      <c r="L261" s="52"/>
      <c r="M261" s="52"/>
      <c r="N261" s="52"/>
      <c r="O261" s="52"/>
      <c r="Q261" s="400"/>
      <c r="R261" s="401"/>
      <c r="S261" s="401"/>
    </row>
    <row r="262" spans="1:24" collapsed="1" x14ac:dyDescent="0.2">
      <c r="A262" s="55" t="s">
        <v>830</v>
      </c>
      <c r="B262" s="52">
        <v>0</v>
      </c>
      <c r="C262" s="52">
        <v>0</v>
      </c>
      <c r="D262" s="52">
        <v>0</v>
      </c>
      <c r="E262" s="109">
        <v>0</v>
      </c>
      <c r="F262" s="52">
        <v>0</v>
      </c>
      <c r="G262" s="52">
        <v>0</v>
      </c>
      <c r="H262" s="52">
        <v>0</v>
      </c>
      <c r="I262" s="52">
        <v>0</v>
      </c>
      <c r="J262" s="52">
        <v>0</v>
      </c>
      <c r="K262" s="52">
        <v>0</v>
      </c>
      <c r="L262" s="52">
        <v>0</v>
      </c>
      <c r="M262" s="52">
        <v>0</v>
      </c>
      <c r="N262" s="52">
        <v>0</v>
      </c>
      <c r="O262" s="52">
        <v>0</v>
      </c>
      <c r="P262" s="31">
        <f>SUM(B262:O262)</f>
        <v>0</v>
      </c>
      <c r="Q262" s="400"/>
      <c r="R262" s="401"/>
      <c r="S262" s="401"/>
      <c r="T262" s="31">
        <f>P262-R262+S262</f>
        <v>0</v>
      </c>
    </row>
    <row r="263" spans="1:24" hidden="1" outlineLevel="1" x14ac:dyDescent="0.2">
      <c r="A263" s="34" t="s">
        <v>21</v>
      </c>
      <c r="B263" s="52">
        <v>0</v>
      </c>
      <c r="C263" s="52">
        <v>0</v>
      </c>
      <c r="D263" s="52">
        <v>0</v>
      </c>
      <c r="E263" s="109">
        <v>0</v>
      </c>
      <c r="F263" s="52">
        <v>0</v>
      </c>
      <c r="G263" s="52">
        <v>0</v>
      </c>
      <c r="H263" s="52">
        <v>0</v>
      </c>
      <c r="I263" s="52">
        <v>0</v>
      </c>
      <c r="J263" s="52">
        <v>0</v>
      </c>
      <c r="K263" s="52">
        <v>0</v>
      </c>
      <c r="L263" s="52">
        <v>0</v>
      </c>
      <c r="M263" s="52">
        <v>0</v>
      </c>
      <c r="N263" s="52">
        <v>0</v>
      </c>
      <c r="O263" s="52">
        <v>0</v>
      </c>
      <c r="P263" s="31">
        <f>SUM(B263:O263)</f>
        <v>0</v>
      </c>
      <c r="Q263" s="408">
        <v>1</v>
      </c>
      <c r="R263" s="57"/>
      <c r="S263" s="57">
        <f>'Consol 2017 Adj'!$E$18</f>
        <v>16026364</v>
      </c>
      <c r="T263" s="31">
        <f>P263-R263-R264-R265-R266+S266+S265+S264+S263</f>
        <v>0</v>
      </c>
      <c r="V263" s="31">
        <v>0</v>
      </c>
    </row>
    <row r="264" spans="1:24" hidden="1" outlineLevel="1" x14ac:dyDescent="0.2">
      <c r="A264" s="34"/>
      <c r="B264" s="52"/>
      <c r="C264" s="52"/>
      <c r="D264" s="52"/>
      <c r="E264" s="109"/>
      <c r="F264" s="52"/>
      <c r="G264" s="52"/>
      <c r="H264" s="52"/>
      <c r="I264" s="52"/>
      <c r="J264" s="52"/>
      <c r="K264" s="52"/>
      <c r="L264" s="52"/>
      <c r="M264" s="52"/>
      <c r="N264" s="52"/>
      <c r="O264" s="52"/>
      <c r="Q264" s="408">
        <v>3</v>
      </c>
      <c r="R264" s="57">
        <f>'Consol 2017 Adj'!$D$61</f>
        <v>4759531</v>
      </c>
      <c r="S264" s="57"/>
    </row>
    <row r="265" spans="1:24" hidden="1" outlineLevel="1" x14ac:dyDescent="0.2">
      <c r="A265" s="34"/>
      <c r="B265" s="52"/>
      <c r="C265" s="52"/>
      <c r="D265" s="52"/>
      <c r="E265" s="109"/>
      <c r="F265" s="52"/>
      <c r="G265" s="52"/>
      <c r="H265" s="52"/>
      <c r="I265" s="52"/>
      <c r="J265" s="52"/>
      <c r="K265" s="52"/>
      <c r="L265" s="52"/>
      <c r="M265" s="52"/>
      <c r="N265" s="52"/>
      <c r="O265" s="52"/>
      <c r="Q265" s="408">
        <v>4</v>
      </c>
      <c r="R265" s="57">
        <f>'Consol 2017 Adj'!$D$68</f>
        <v>11266833</v>
      </c>
      <c r="S265" s="57"/>
    </row>
    <row r="266" spans="1:24" hidden="1" outlineLevel="1" x14ac:dyDescent="0.2">
      <c r="A266" s="34"/>
      <c r="B266" s="52"/>
      <c r="C266" s="52"/>
      <c r="D266" s="52"/>
      <c r="E266" s="109"/>
      <c r="F266" s="52"/>
      <c r="G266" s="52"/>
      <c r="H266" s="52"/>
      <c r="I266" s="52"/>
      <c r="J266" s="52"/>
      <c r="K266" s="52"/>
      <c r="L266" s="52"/>
      <c r="M266" s="52"/>
      <c r="N266" s="52"/>
      <c r="O266" s="52"/>
      <c r="Q266" s="314"/>
      <c r="R266" s="57"/>
      <c r="S266" s="57"/>
    </row>
    <row r="267" spans="1:24" hidden="1" outlineLevel="1" x14ac:dyDescent="0.2">
      <c r="A267" s="34"/>
      <c r="B267" s="52"/>
      <c r="C267" s="52"/>
      <c r="D267" s="52"/>
      <c r="E267" s="109"/>
      <c r="F267" s="52"/>
      <c r="G267" s="52"/>
      <c r="H267" s="52"/>
      <c r="I267" s="52"/>
      <c r="J267" s="52"/>
      <c r="K267" s="52"/>
      <c r="L267" s="52"/>
      <c r="M267" s="52"/>
      <c r="N267" s="52"/>
      <c r="O267" s="52"/>
      <c r="Q267" s="400"/>
      <c r="R267" s="401"/>
      <c r="S267" s="401"/>
    </row>
    <row r="268" spans="1:24" collapsed="1" x14ac:dyDescent="0.2">
      <c r="B268" s="230">
        <f>SUM(B249:B267)</f>
        <v>256609</v>
      </c>
      <c r="C268" s="230">
        <f>SUM(C249:C267)</f>
        <v>14945555</v>
      </c>
      <c r="D268" s="230">
        <f t="shared" ref="D268:P268" si="7">SUM(D249:D267)</f>
        <v>0</v>
      </c>
      <c r="E268" s="370">
        <f t="shared" si="7"/>
        <v>0</v>
      </c>
      <c r="F268" s="230">
        <f t="shared" si="7"/>
        <v>0</v>
      </c>
      <c r="G268" s="230">
        <f t="shared" si="7"/>
        <v>232056</v>
      </c>
      <c r="H268" s="230">
        <f t="shared" si="7"/>
        <v>0</v>
      </c>
      <c r="I268" s="230">
        <f t="shared" si="7"/>
        <v>0</v>
      </c>
      <c r="J268" s="230">
        <f t="shared" si="7"/>
        <v>0</v>
      </c>
      <c r="K268" s="230">
        <f t="shared" si="7"/>
        <v>0</v>
      </c>
      <c r="L268" s="230">
        <f t="shared" si="7"/>
        <v>0</v>
      </c>
      <c r="M268" s="230">
        <f t="shared" si="7"/>
        <v>0</v>
      </c>
      <c r="N268" s="230">
        <f t="shared" si="7"/>
        <v>0</v>
      </c>
      <c r="O268" s="230">
        <f t="shared" si="7"/>
        <v>0</v>
      </c>
      <c r="P268" s="35">
        <f t="shared" si="7"/>
        <v>15434220</v>
      </c>
      <c r="Q268" s="400"/>
      <c r="R268" s="401"/>
      <c r="S268" s="401"/>
      <c r="T268" s="35">
        <f>SUM(T249:T263)</f>
        <v>22835573</v>
      </c>
      <c r="V268" s="35">
        <f>SUM(V249:V263)</f>
        <v>22835</v>
      </c>
      <c r="X268" s="51"/>
    </row>
    <row r="269" spans="1:24" x14ac:dyDescent="0.2">
      <c r="B269" s="52"/>
      <c r="C269" s="52"/>
      <c r="D269" s="52"/>
      <c r="E269" s="109"/>
      <c r="F269" s="52"/>
      <c r="G269" s="52"/>
      <c r="H269" s="52"/>
      <c r="I269" s="52"/>
      <c r="J269" s="52"/>
      <c r="K269" s="52"/>
      <c r="L269" s="52"/>
      <c r="M269" s="52"/>
      <c r="N269" s="52"/>
      <c r="O269" s="52"/>
      <c r="Q269" s="400"/>
      <c r="R269" s="401"/>
      <c r="S269" s="401"/>
    </row>
    <row r="270" spans="1:24" x14ac:dyDescent="0.2">
      <c r="A270" s="33" t="s">
        <v>43</v>
      </c>
      <c r="B270" s="52"/>
      <c r="C270" s="52"/>
      <c r="D270" s="52"/>
      <c r="E270" s="109"/>
      <c r="F270" s="52"/>
      <c r="G270" s="52"/>
      <c r="H270" s="52"/>
      <c r="I270" s="52"/>
      <c r="J270" s="52"/>
      <c r="K270" s="52"/>
      <c r="L270" s="52"/>
      <c r="M270" s="52"/>
      <c r="N270" s="52"/>
      <c r="O270" s="52"/>
      <c r="Q270" s="400"/>
      <c r="R270" s="401"/>
      <c r="S270" s="401"/>
    </row>
    <row r="271" spans="1:24" x14ac:dyDescent="0.2">
      <c r="A271" s="30" t="s">
        <v>18</v>
      </c>
      <c r="B271" s="52">
        <f>35226+133883</f>
        <v>169109</v>
      </c>
      <c r="C271" s="52">
        <v>1998118</v>
      </c>
      <c r="D271" s="52">
        <v>0</v>
      </c>
      <c r="E271" s="109">
        <v>0</v>
      </c>
      <c r="F271" s="52">
        <v>0</v>
      </c>
      <c r="G271" s="52">
        <f>82255</f>
        <v>82255</v>
      </c>
      <c r="H271" s="52">
        <v>10967825</v>
      </c>
      <c r="I271" s="52">
        <v>0</v>
      </c>
      <c r="J271" s="52">
        <v>0</v>
      </c>
      <c r="K271" s="52">
        <v>0</v>
      </c>
      <c r="L271" s="52">
        <v>0</v>
      </c>
      <c r="M271" s="52">
        <v>0</v>
      </c>
      <c r="N271" s="52">
        <v>0</v>
      </c>
      <c r="O271" s="52">
        <v>0</v>
      </c>
      <c r="P271" s="31">
        <f>SUM(B271:O271)</f>
        <v>13217307</v>
      </c>
      <c r="Q271" s="400"/>
      <c r="R271" s="401"/>
      <c r="S271" s="401"/>
      <c r="T271" s="31">
        <f>P271-R271+S271</f>
        <v>13217307</v>
      </c>
      <c r="V271" s="31">
        <v>13217</v>
      </c>
    </row>
    <row r="272" spans="1:24" x14ac:dyDescent="0.2">
      <c r="A272" s="30" t="s">
        <v>12</v>
      </c>
      <c r="B272" s="52">
        <v>0</v>
      </c>
      <c r="C272" s="52">
        <f>5492988</f>
        <v>5492988</v>
      </c>
      <c r="D272" s="52">
        <v>0</v>
      </c>
      <c r="E272" s="109">
        <v>0</v>
      </c>
      <c r="F272" s="52">
        <f>192084</f>
        <v>192084</v>
      </c>
      <c r="G272" s="52">
        <v>0</v>
      </c>
      <c r="H272" s="52">
        <f>59255</f>
        <v>59255</v>
      </c>
      <c r="I272" s="52">
        <v>0</v>
      </c>
      <c r="J272" s="52">
        <v>0</v>
      </c>
      <c r="K272" s="52">
        <v>0</v>
      </c>
      <c r="L272" s="52">
        <v>0</v>
      </c>
      <c r="M272" s="52">
        <f>2528216</f>
        <v>2528216</v>
      </c>
      <c r="N272" s="52">
        <v>0</v>
      </c>
      <c r="O272" s="52">
        <v>0</v>
      </c>
      <c r="P272" s="31">
        <f>SUM(B272:O272)</f>
        <v>8272543</v>
      </c>
      <c r="Q272" s="400"/>
      <c r="R272" s="401"/>
      <c r="S272" s="401"/>
      <c r="T272" s="31">
        <f>P272-R272+S272+U272</f>
        <v>8272545</v>
      </c>
      <c r="U272" s="30">
        <v>2</v>
      </c>
      <c r="V272" s="52">
        <v>8272</v>
      </c>
    </row>
    <row r="273" spans="1:23" x14ac:dyDescent="0.2">
      <c r="A273" s="64" t="s">
        <v>13</v>
      </c>
      <c r="B273" s="52">
        <f>1937799+1</f>
        <v>1937800</v>
      </c>
      <c r="C273" s="52">
        <f>4574886+15192674-1530-2</f>
        <v>19766028</v>
      </c>
      <c r="D273" s="52">
        <f>11317+140+1020621</f>
        <v>1032078</v>
      </c>
      <c r="E273" s="109">
        <v>0</v>
      </c>
      <c r="F273" s="52">
        <f>956554</f>
        <v>956554</v>
      </c>
      <c r="G273" s="52">
        <f>82591+268220+76936+365116-123160-79332+202516-11366-68+41952-108896-82255+2</f>
        <v>632256</v>
      </c>
      <c r="H273" s="57">
        <f>-295507-126933+2305+390-215754+4100000+1</f>
        <v>3464502</v>
      </c>
      <c r="I273" s="57">
        <v>2500</v>
      </c>
      <c r="J273" s="57">
        <f>5576-1</f>
        <v>5575</v>
      </c>
      <c r="K273" s="57">
        <f>2200+6000</f>
        <v>8200</v>
      </c>
      <c r="L273" s="57">
        <v>2500</v>
      </c>
      <c r="M273" s="57">
        <f>33698+45594+499350+17605-214507-1</f>
        <v>381739</v>
      </c>
      <c r="N273" s="52">
        <v>2500</v>
      </c>
      <c r="O273" s="52">
        <v>2500</v>
      </c>
      <c r="P273" s="31">
        <f>SUM(B273:O273)</f>
        <v>28194732</v>
      </c>
      <c r="Q273" s="400"/>
      <c r="R273" s="401"/>
      <c r="S273" s="401"/>
      <c r="T273" s="31">
        <f>P273-R273-R274-R275-R276-R277-R278-R279+S279+S278+S277+S276+S275+S274+S273</f>
        <v>28194732</v>
      </c>
      <c r="V273" s="356">
        <v>28195</v>
      </c>
    </row>
    <row r="274" spans="1:23" hidden="1" outlineLevel="1" x14ac:dyDescent="0.2">
      <c r="B274" s="52"/>
      <c r="C274" s="52"/>
      <c r="D274" s="52"/>
      <c r="E274" s="109"/>
      <c r="F274" s="52"/>
      <c r="G274" s="52"/>
      <c r="H274" s="52"/>
      <c r="I274" s="52"/>
      <c r="J274" s="52"/>
      <c r="K274" s="52"/>
      <c r="L274" s="52"/>
      <c r="M274" s="52"/>
      <c r="N274" s="52"/>
      <c r="O274" s="52"/>
      <c r="Q274" s="400"/>
      <c r="R274" s="401"/>
      <c r="S274" s="401"/>
    </row>
    <row r="275" spans="1:23" hidden="1" outlineLevel="1" x14ac:dyDescent="0.2">
      <c r="B275" s="52"/>
      <c r="C275" s="52"/>
      <c r="D275" s="52"/>
      <c r="E275" s="109"/>
      <c r="F275" s="52"/>
      <c r="G275" s="52"/>
      <c r="H275" s="52"/>
      <c r="I275" s="52"/>
      <c r="J275" s="52"/>
      <c r="K275" s="52"/>
      <c r="L275" s="52"/>
      <c r="M275" s="52"/>
      <c r="N275" s="52"/>
      <c r="O275" s="52"/>
      <c r="Q275" s="400"/>
      <c r="R275" s="401"/>
      <c r="S275" s="401"/>
    </row>
    <row r="276" spans="1:23" hidden="1" outlineLevel="1" x14ac:dyDescent="0.2">
      <c r="B276" s="52"/>
      <c r="C276" s="52"/>
      <c r="D276" s="52"/>
      <c r="E276" s="109"/>
      <c r="F276" s="52"/>
      <c r="G276" s="52"/>
      <c r="H276" s="52"/>
      <c r="I276" s="52"/>
      <c r="J276" s="52"/>
      <c r="K276" s="52"/>
      <c r="L276" s="52"/>
      <c r="M276" s="52"/>
      <c r="N276" s="52"/>
      <c r="O276" s="52"/>
      <c r="Q276" s="400"/>
      <c r="R276" s="401"/>
      <c r="S276" s="401"/>
    </row>
    <row r="277" spans="1:23" hidden="1" outlineLevel="1" x14ac:dyDescent="0.2">
      <c r="B277" s="52"/>
      <c r="C277" s="52"/>
      <c r="D277" s="52"/>
      <c r="E277" s="109"/>
      <c r="F277" s="52"/>
      <c r="G277" s="52"/>
      <c r="H277" s="52"/>
      <c r="I277" s="52"/>
      <c r="J277" s="52"/>
      <c r="K277" s="52"/>
      <c r="L277" s="52"/>
      <c r="M277" s="52"/>
      <c r="N277" s="52"/>
      <c r="O277" s="52"/>
      <c r="Q277" s="400"/>
      <c r="R277" s="401"/>
      <c r="S277" s="401"/>
    </row>
    <row r="278" spans="1:23" hidden="1" outlineLevel="1" x14ac:dyDescent="0.2">
      <c r="B278" s="52"/>
      <c r="C278" s="52"/>
      <c r="D278" s="52"/>
      <c r="E278" s="109"/>
      <c r="F278" s="52"/>
      <c r="G278" s="52"/>
      <c r="H278" s="52"/>
      <c r="I278" s="52"/>
      <c r="J278" s="52"/>
      <c r="K278" s="52"/>
      <c r="L278" s="52"/>
      <c r="M278" s="52"/>
      <c r="N278" s="52"/>
      <c r="O278" s="52"/>
      <c r="Q278" s="400"/>
      <c r="R278" s="401"/>
      <c r="S278" s="401"/>
    </row>
    <row r="279" spans="1:23" hidden="1" outlineLevel="1" x14ac:dyDescent="0.2">
      <c r="B279" s="52"/>
      <c r="C279" s="52"/>
      <c r="D279" s="52"/>
      <c r="E279" s="109"/>
      <c r="F279" s="52"/>
      <c r="G279" s="52"/>
      <c r="H279" s="52"/>
      <c r="I279" s="52"/>
      <c r="J279" s="52"/>
      <c r="K279" s="52"/>
      <c r="L279" s="52"/>
      <c r="M279" s="52"/>
      <c r="N279" s="52"/>
      <c r="O279" s="52"/>
      <c r="Q279" s="400"/>
      <c r="R279" s="401"/>
      <c r="S279" s="401"/>
    </row>
    <row r="280" spans="1:23" collapsed="1" x14ac:dyDescent="0.2">
      <c r="A280" s="64" t="s">
        <v>831</v>
      </c>
      <c r="B280" s="52">
        <v>0</v>
      </c>
      <c r="C280" s="52">
        <v>0</v>
      </c>
      <c r="D280" s="52">
        <v>0</v>
      </c>
      <c r="E280" s="109">
        <v>0</v>
      </c>
      <c r="F280" s="52">
        <v>0</v>
      </c>
      <c r="G280" s="52"/>
      <c r="H280" s="52">
        <v>0</v>
      </c>
      <c r="I280" s="52"/>
      <c r="J280" s="52">
        <v>0</v>
      </c>
      <c r="K280" s="52">
        <v>0</v>
      </c>
      <c r="L280" s="52">
        <v>0</v>
      </c>
      <c r="M280" s="52">
        <v>0</v>
      </c>
      <c r="N280" s="52">
        <v>0</v>
      </c>
      <c r="O280" s="52">
        <v>0</v>
      </c>
      <c r="P280" s="31">
        <f>SUM(B280:O280)</f>
        <v>0</v>
      </c>
      <c r="Q280" s="400"/>
      <c r="R280" s="401"/>
      <c r="S280" s="401"/>
      <c r="T280" s="31">
        <f>P280-R280+S280</f>
        <v>0</v>
      </c>
      <c r="V280" s="31">
        <v>0</v>
      </c>
    </row>
    <row r="281" spans="1:23" x14ac:dyDescent="0.2">
      <c r="A281" s="30" t="s">
        <v>20</v>
      </c>
      <c r="B281" s="52">
        <f>6037</f>
        <v>6037</v>
      </c>
      <c r="C281" s="52">
        <v>0</v>
      </c>
      <c r="D281" s="52">
        <f>12000-12000</f>
        <v>0</v>
      </c>
      <c r="E281" s="109">
        <v>0</v>
      </c>
      <c r="F281" s="52">
        <v>0</v>
      </c>
      <c r="G281" s="52">
        <f>79332</f>
        <v>79332</v>
      </c>
      <c r="H281" s="52">
        <v>0</v>
      </c>
      <c r="I281" s="52">
        <v>0</v>
      </c>
      <c r="J281" s="52">
        <v>0</v>
      </c>
      <c r="K281" s="52">
        <v>0</v>
      </c>
      <c r="L281" s="52">
        <v>0</v>
      </c>
      <c r="M281" s="52">
        <v>0</v>
      </c>
      <c r="N281" s="52">
        <v>0</v>
      </c>
      <c r="O281" s="52">
        <v>0</v>
      </c>
      <c r="P281" s="31">
        <f>SUM(B281:O281)</f>
        <v>85369</v>
      </c>
      <c r="Q281" s="400"/>
      <c r="R281" s="401"/>
      <c r="S281" s="401"/>
      <c r="T281" s="31">
        <f>P281-R281+S281-R282+S282</f>
        <v>85369</v>
      </c>
      <c r="U281" s="30">
        <v>7</v>
      </c>
      <c r="V281" s="31">
        <v>85</v>
      </c>
      <c r="W281" s="64" t="s">
        <v>1104</v>
      </c>
    </row>
    <row r="282" spans="1:23" hidden="1" outlineLevel="1" x14ac:dyDescent="0.2">
      <c r="B282" s="52"/>
      <c r="C282" s="52"/>
      <c r="D282" s="52"/>
      <c r="E282" s="109"/>
      <c r="F282" s="52"/>
      <c r="G282" s="52"/>
      <c r="H282" s="52"/>
      <c r="I282" s="52"/>
      <c r="J282" s="52"/>
      <c r="K282" s="52"/>
      <c r="L282" s="52"/>
      <c r="M282" s="52"/>
      <c r="N282" s="52"/>
      <c r="O282" s="52"/>
      <c r="Q282" s="400"/>
      <c r="R282" s="401"/>
      <c r="S282" s="401"/>
    </row>
    <row r="283" spans="1:23" collapsed="1" x14ac:dyDescent="0.2">
      <c r="A283" s="34" t="s">
        <v>65</v>
      </c>
      <c r="B283" s="52">
        <f>1667207</f>
        <v>1667207</v>
      </c>
      <c r="C283" s="52">
        <f>37781882</f>
        <v>37781882</v>
      </c>
      <c r="D283" s="52">
        <v>998377</v>
      </c>
      <c r="E283" s="109">
        <v>0</v>
      </c>
      <c r="F283" s="52">
        <v>0</v>
      </c>
      <c r="G283" s="52">
        <f>3320168</f>
        <v>3320168</v>
      </c>
      <c r="H283" s="52">
        <v>15315209</v>
      </c>
      <c r="I283" s="52">
        <f>64235</f>
        <v>64235</v>
      </c>
      <c r="J283" s="52">
        <f>692152</f>
        <v>692152</v>
      </c>
      <c r="K283" s="52">
        <f>29840858</f>
        <v>29840858</v>
      </c>
      <c r="L283" s="52">
        <v>1400</v>
      </c>
      <c r="M283" s="52">
        <v>6036485</v>
      </c>
      <c r="N283" s="52">
        <v>1400</v>
      </c>
      <c r="O283" s="52">
        <v>0</v>
      </c>
      <c r="P283" s="31">
        <f>SUM(B283:O283)</f>
        <v>95719373</v>
      </c>
      <c r="Q283" s="396" t="s">
        <v>1323</v>
      </c>
      <c r="R283" s="57">
        <f>'Conso C adjs'!$F$7</f>
        <v>95729373</v>
      </c>
      <c r="S283" s="401"/>
      <c r="T283" s="31">
        <f>P283-R283+S283-R284+S284-R285+S285-R286+S286</f>
        <v>0</v>
      </c>
      <c r="V283" s="31">
        <v>0</v>
      </c>
    </row>
    <row r="284" spans="1:23" hidden="1" outlineLevel="1" x14ac:dyDescent="0.2">
      <c r="A284" s="34"/>
      <c r="B284" s="52"/>
      <c r="C284" s="52"/>
      <c r="D284" s="52"/>
      <c r="E284" s="109"/>
      <c r="F284" s="52"/>
      <c r="G284" s="52"/>
      <c r="H284" s="52"/>
      <c r="I284" s="52"/>
      <c r="J284" s="52"/>
      <c r="K284" s="52"/>
      <c r="L284" s="52"/>
      <c r="M284" s="52"/>
      <c r="N284" s="52"/>
      <c r="O284" s="52"/>
      <c r="Q284" s="400" t="s">
        <v>1323</v>
      </c>
      <c r="R284" s="401"/>
      <c r="S284" s="401">
        <f>'Conso C adjs'!$G$8</f>
        <v>10000</v>
      </c>
    </row>
    <row r="285" spans="1:23" hidden="1" outlineLevel="1" x14ac:dyDescent="0.2">
      <c r="A285" s="34"/>
      <c r="B285" s="52"/>
      <c r="C285" s="52"/>
      <c r="D285" s="52"/>
      <c r="E285" s="109"/>
      <c r="F285" s="52"/>
      <c r="G285" s="52"/>
      <c r="H285" s="52"/>
      <c r="I285" s="52"/>
      <c r="J285" s="52"/>
      <c r="K285" s="52"/>
      <c r="L285" s="52"/>
      <c r="M285" s="52"/>
      <c r="N285" s="52"/>
      <c r="O285" s="52"/>
      <c r="Q285" s="400"/>
      <c r="R285" s="401"/>
      <c r="S285" s="401"/>
    </row>
    <row r="286" spans="1:23" hidden="1" outlineLevel="1" x14ac:dyDescent="0.2">
      <c r="A286" s="34"/>
      <c r="B286" s="52"/>
      <c r="C286" s="52"/>
      <c r="D286" s="52"/>
      <c r="E286" s="109"/>
      <c r="F286" s="52"/>
      <c r="G286" s="52"/>
      <c r="H286" s="52"/>
      <c r="I286" s="52"/>
      <c r="J286" s="52"/>
      <c r="K286" s="52"/>
      <c r="L286" s="52"/>
      <c r="M286" s="52"/>
      <c r="N286" s="52"/>
      <c r="O286" s="52"/>
      <c r="Q286" s="400"/>
      <c r="R286" s="401"/>
      <c r="S286" s="401"/>
    </row>
    <row r="287" spans="1:23" collapsed="1" x14ac:dyDescent="0.2">
      <c r="A287" s="34"/>
      <c r="B287" s="230">
        <f t="shared" ref="B287:J287" si="8">SUM(B271:B283)</f>
        <v>3780153</v>
      </c>
      <c r="C287" s="230">
        <f t="shared" si="8"/>
        <v>65039016</v>
      </c>
      <c r="D287" s="230">
        <f t="shared" si="8"/>
        <v>2030455</v>
      </c>
      <c r="E287" s="370">
        <f t="shared" si="8"/>
        <v>0</v>
      </c>
      <c r="F287" s="230">
        <f t="shared" si="8"/>
        <v>1148638</v>
      </c>
      <c r="G287" s="230">
        <f t="shared" si="8"/>
        <v>4114011</v>
      </c>
      <c r="H287" s="230">
        <f t="shared" si="8"/>
        <v>29806791</v>
      </c>
      <c r="I287" s="230">
        <f t="shared" si="8"/>
        <v>66735</v>
      </c>
      <c r="J287" s="230">
        <f t="shared" si="8"/>
        <v>697727</v>
      </c>
      <c r="K287" s="230">
        <f t="shared" ref="K287:P287" si="9">SUM(K271:K283)</f>
        <v>29849058</v>
      </c>
      <c r="L287" s="230">
        <f t="shared" si="9"/>
        <v>3900</v>
      </c>
      <c r="M287" s="230">
        <f t="shared" si="9"/>
        <v>8946440</v>
      </c>
      <c r="N287" s="230">
        <f t="shared" si="9"/>
        <v>3900</v>
      </c>
      <c r="O287" s="230">
        <f t="shared" si="9"/>
        <v>2500</v>
      </c>
      <c r="P287" s="35">
        <f t="shared" si="9"/>
        <v>145489324</v>
      </c>
      <c r="Q287" s="400"/>
      <c r="R287" s="401"/>
      <c r="S287" s="401"/>
      <c r="T287" s="35">
        <f>SUM(T271:T283)</f>
        <v>49769953</v>
      </c>
      <c r="V287" s="35">
        <f>SUM(V271:V283)</f>
        <v>49769</v>
      </c>
    </row>
    <row r="288" spans="1:23" x14ac:dyDescent="0.2">
      <c r="A288" s="34" t="s">
        <v>93</v>
      </c>
      <c r="B288" s="389"/>
      <c r="C288" s="389"/>
      <c r="D288" s="389"/>
      <c r="E288" s="386"/>
      <c r="F288" s="389"/>
      <c r="G288" s="389"/>
      <c r="H288" s="389"/>
      <c r="I288" s="389"/>
      <c r="J288" s="389"/>
      <c r="K288" s="52"/>
      <c r="L288" s="52"/>
      <c r="M288" s="52"/>
      <c r="N288" s="52"/>
      <c r="O288" s="52"/>
      <c r="Q288" s="400"/>
      <c r="R288" s="401"/>
      <c r="S288" s="401"/>
      <c r="T288" s="39"/>
    </row>
    <row r="289" spans="1:22" x14ac:dyDescent="0.2">
      <c r="A289" s="34" t="s">
        <v>94</v>
      </c>
      <c r="B289" s="52">
        <v>0</v>
      </c>
      <c r="C289" s="52">
        <v>0</v>
      </c>
      <c r="D289" s="52">
        <v>0</v>
      </c>
      <c r="E289" s="109">
        <v>0</v>
      </c>
      <c r="F289" s="52">
        <v>0</v>
      </c>
      <c r="G289" s="52">
        <v>0</v>
      </c>
      <c r="H289" s="52">
        <v>0</v>
      </c>
      <c r="I289" s="52">
        <v>0</v>
      </c>
      <c r="J289" s="52">
        <v>0</v>
      </c>
      <c r="K289" s="52">
        <v>0</v>
      </c>
      <c r="L289" s="52">
        <v>0</v>
      </c>
      <c r="M289" s="52">
        <v>0</v>
      </c>
      <c r="N289" s="52">
        <v>0</v>
      </c>
      <c r="O289" s="52">
        <v>0</v>
      </c>
      <c r="P289" s="31">
        <f>SUM(B289:O289)</f>
        <v>0</v>
      </c>
      <c r="Q289" s="400"/>
      <c r="R289" s="401"/>
      <c r="S289" s="401"/>
      <c r="T289" s="31">
        <f>P289-R289-R290-R291-R292-R293+S293+S292+S291+S290+S289</f>
        <v>0</v>
      </c>
      <c r="V289" s="31">
        <v>0</v>
      </c>
    </row>
    <row r="290" spans="1:22" x14ac:dyDescent="0.2">
      <c r="A290" s="34"/>
      <c r="B290" s="52"/>
      <c r="C290" s="52"/>
      <c r="D290" s="52"/>
      <c r="E290" s="109"/>
      <c r="F290" s="52"/>
      <c r="G290" s="52"/>
      <c r="H290" s="52"/>
      <c r="I290" s="52"/>
      <c r="J290" s="52"/>
      <c r="K290" s="52"/>
      <c r="L290" s="52"/>
      <c r="M290" s="52"/>
      <c r="N290" s="52"/>
      <c r="O290" s="52"/>
      <c r="Q290" s="400"/>
      <c r="R290" s="401"/>
      <c r="S290" s="401"/>
    </row>
    <row r="291" spans="1:22" x14ac:dyDescent="0.2">
      <c r="A291" s="34"/>
      <c r="B291" s="52"/>
      <c r="C291" s="52"/>
      <c r="D291" s="52"/>
      <c r="E291" s="109"/>
      <c r="F291" s="52"/>
      <c r="G291" s="52"/>
      <c r="H291" s="52"/>
      <c r="I291" s="52"/>
      <c r="J291" s="52"/>
      <c r="K291" s="52"/>
      <c r="L291" s="52"/>
      <c r="M291" s="52"/>
      <c r="N291" s="52"/>
      <c r="O291" s="52"/>
      <c r="Q291" s="400"/>
      <c r="R291" s="401"/>
      <c r="S291" s="401"/>
    </row>
    <row r="292" spans="1:22" x14ac:dyDescent="0.2">
      <c r="A292" s="34"/>
      <c r="B292" s="52"/>
      <c r="C292" s="52"/>
      <c r="D292" s="52"/>
      <c r="E292" s="109"/>
      <c r="F292" s="52"/>
      <c r="G292" s="52"/>
      <c r="H292" s="52"/>
      <c r="I292" s="52"/>
      <c r="J292" s="52"/>
      <c r="K292" s="52"/>
      <c r="L292" s="52"/>
      <c r="M292" s="52"/>
      <c r="N292" s="52"/>
      <c r="O292" s="52"/>
    </row>
    <row r="293" spans="1:22" x14ac:dyDescent="0.2">
      <c r="A293" s="34"/>
      <c r="B293" s="52"/>
      <c r="C293" s="52"/>
      <c r="D293" s="52"/>
      <c r="E293" s="109"/>
      <c r="F293" s="52"/>
      <c r="G293" s="52"/>
      <c r="H293" s="52"/>
      <c r="I293" s="52"/>
      <c r="J293" s="52"/>
      <c r="K293" s="52"/>
      <c r="L293" s="52"/>
      <c r="M293" s="52"/>
      <c r="N293" s="52"/>
      <c r="O293" s="52"/>
    </row>
    <row r="294" spans="1:22" x14ac:dyDescent="0.2">
      <c r="A294" s="34"/>
      <c r="B294" s="209"/>
      <c r="C294" s="209"/>
      <c r="D294" s="209"/>
      <c r="E294" s="369"/>
      <c r="F294" s="209"/>
      <c r="G294" s="209"/>
      <c r="H294" s="209"/>
      <c r="I294" s="209"/>
      <c r="J294" s="209"/>
      <c r="K294" s="52"/>
      <c r="L294" s="52"/>
      <c r="M294" s="52"/>
      <c r="N294" s="52"/>
      <c r="O294" s="52"/>
    </row>
    <row r="295" spans="1:22" x14ac:dyDescent="0.2">
      <c r="A295" s="38" t="s">
        <v>44</v>
      </c>
      <c r="B295" s="230">
        <f t="shared" ref="B295:P295" si="10">B268+B287+B289</f>
        <v>4036762</v>
      </c>
      <c r="C295" s="230">
        <f t="shared" si="10"/>
        <v>79984571</v>
      </c>
      <c r="D295" s="230">
        <f t="shared" si="10"/>
        <v>2030455</v>
      </c>
      <c r="E295" s="370">
        <f t="shared" si="10"/>
        <v>0</v>
      </c>
      <c r="F295" s="230">
        <f t="shared" si="10"/>
        <v>1148638</v>
      </c>
      <c r="G295" s="230">
        <f t="shared" si="10"/>
        <v>4346067</v>
      </c>
      <c r="H295" s="230">
        <f t="shared" si="10"/>
        <v>29806791</v>
      </c>
      <c r="I295" s="230">
        <f t="shared" si="10"/>
        <v>66735</v>
      </c>
      <c r="J295" s="230">
        <f t="shared" si="10"/>
        <v>697727</v>
      </c>
      <c r="K295" s="230">
        <f t="shared" si="10"/>
        <v>29849058</v>
      </c>
      <c r="L295" s="230">
        <f t="shared" si="10"/>
        <v>3900</v>
      </c>
      <c r="M295" s="230">
        <f t="shared" si="10"/>
        <v>8946440</v>
      </c>
      <c r="N295" s="230">
        <f t="shared" si="10"/>
        <v>3900</v>
      </c>
      <c r="O295" s="230">
        <f t="shared" si="10"/>
        <v>2500</v>
      </c>
      <c r="P295" s="35">
        <f t="shared" si="10"/>
        <v>160923544</v>
      </c>
      <c r="T295" s="35">
        <f>T268+T287+T289</f>
        <v>72605526</v>
      </c>
      <c r="V295" s="35">
        <f>V268+V287+V289</f>
        <v>72604</v>
      </c>
    </row>
    <row r="296" spans="1:22" ht="12" thickBot="1" x14ac:dyDescent="0.25">
      <c r="A296" s="38" t="s">
        <v>45</v>
      </c>
      <c r="B296" s="388">
        <f t="shared" ref="B296:P296" si="11">B246+B295</f>
        <v>107749459</v>
      </c>
      <c r="C296" s="388">
        <f t="shared" si="11"/>
        <v>86507601</v>
      </c>
      <c r="D296" s="388">
        <f t="shared" si="11"/>
        <v>3935289</v>
      </c>
      <c r="E296" s="384">
        <f t="shared" si="11"/>
        <v>0</v>
      </c>
      <c r="F296" s="388">
        <f t="shared" si="11"/>
        <v>2583337</v>
      </c>
      <c r="G296" s="388">
        <f t="shared" si="11"/>
        <v>1637573</v>
      </c>
      <c r="H296" s="388">
        <f t="shared" si="11"/>
        <v>14651681</v>
      </c>
      <c r="I296" s="388">
        <f>I246+I295</f>
        <v>230</v>
      </c>
      <c r="J296" s="388">
        <f t="shared" si="11"/>
        <v>52775</v>
      </c>
      <c r="K296" s="388">
        <f t="shared" si="11"/>
        <v>29512574</v>
      </c>
      <c r="L296" s="388">
        <f t="shared" si="11"/>
        <v>0</v>
      </c>
      <c r="M296" s="388">
        <f t="shared" si="11"/>
        <v>4667310</v>
      </c>
      <c r="N296" s="388">
        <f t="shared" si="11"/>
        <v>0</v>
      </c>
      <c r="O296" s="388">
        <f t="shared" si="11"/>
        <v>0</v>
      </c>
      <c r="P296" s="37">
        <f t="shared" si="11"/>
        <v>251297829</v>
      </c>
      <c r="R296" s="52">
        <f>SUM(R8:R295)</f>
        <v>970138770</v>
      </c>
      <c r="S296" s="52">
        <f>SUM(S8:S295)</f>
        <v>970138770</v>
      </c>
      <c r="T296" s="37">
        <f>T246+T295</f>
        <v>217540101</v>
      </c>
      <c r="V296" s="37">
        <f>V246+V295</f>
        <v>217539</v>
      </c>
    </row>
    <row r="297" spans="1:22" ht="12" thickTop="1" x14ac:dyDescent="0.2">
      <c r="B297" s="52">
        <f t="shared" ref="B297:P297" si="12">B134-B296</f>
        <v>0</v>
      </c>
      <c r="C297" s="52">
        <f t="shared" si="12"/>
        <v>0</v>
      </c>
      <c r="D297" s="52">
        <f t="shared" si="12"/>
        <v>0</v>
      </c>
      <c r="E297" s="109">
        <f t="shared" si="12"/>
        <v>0</v>
      </c>
      <c r="F297" s="52">
        <f t="shared" si="12"/>
        <v>0</v>
      </c>
      <c r="G297" s="52">
        <f t="shared" si="12"/>
        <v>0</v>
      </c>
      <c r="H297" s="52">
        <f t="shared" si="12"/>
        <v>0</v>
      </c>
      <c r="I297" s="52">
        <f t="shared" si="12"/>
        <v>0</v>
      </c>
      <c r="J297" s="52">
        <f t="shared" si="12"/>
        <v>0</v>
      </c>
      <c r="K297" s="185">
        <f t="shared" si="12"/>
        <v>0</v>
      </c>
      <c r="L297" s="52">
        <f t="shared" si="12"/>
        <v>0</v>
      </c>
      <c r="M297" s="52">
        <f t="shared" si="12"/>
        <v>0</v>
      </c>
      <c r="N297" s="52">
        <f t="shared" si="12"/>
        <v>0</v>
      </c>
      <c r="O297" s="52">
        <f t="shared" si="12"/>
        <v>0</v>
      </c>
      <c r="P297" s="31">
        <f t="shared" si="12"/>
        <v>0</v>
      </c>
      <c r="T297" s="31">
        <f>T134-T296</f>
        <v>0</v>
      </c>
      <c r="V297" s="31">
        <f>V134-V296</f>
        <v>0</v>
      </c>
    </row>
    <row r="298" spans="1:22" x14ac:dyDescent="0.2">
      <c r="B298" s="52">
        <f t="shared" ref="B298:P298" si="13">B121-B283</f>
        <v>92392158</v>
      </c>
      <c r="C298" s="52">
        <f t="shared" si="13"/>
        <v>-37781835</v>
      </c>
      <c r="D298" s="52">
        <f t="shared" si="13"/>
        <v>-998377</v>
      </c>
      <c r="E298" s="109">
        <f t="shared" si="13"/>
        <v>0</v>
      </c>
      <c r="F298" s="52">
        <f t="shared" si="13"/>
        <v>1667160</v>
      </c>
      <c r="G298" s="52">
        <f t="shared" si="13"/>
        <v>-3320168</v>
      </c>
      <c r="H298" s="52">
        <f t="shared" si="13"/>
        <v>-15315209</v>
      </c>
      <c r="I298" s="52">
        <f t="shared" si="13"/>
        <v>-64235</v>
      </c>
      <c r="J298" s="52">
        <f t="shared" si="13"/>
        <v>-692152</v>
      </c>
      <c r="K298" s="52">
        <f t="shared" si="13"/>
        <v>-29840858</v>
      </c>
      <c r="L298" s="52">
        <f t="shared" si="13"/>
        <v>-1400</v>
      </c>
      <c r="M298" s="52">
        <f t="shared" si="13"/>
        <v>-6036485</v>
      </c>
      <c r="N298" s="52">
        <f t="shared" si="13"/>
        <v>-1400</v>
      </c>
      <c r="O298" s="52">
        <f t="shared" si="13"/>
        <v>0</v>
      </c>
      <c r="P298" s="31">
        <f t="shared" si="13"/>
        <v>7199</v>
      </c>
      <c r="R298" s="52">
        <f>R296-S296</f>
        <v>0</v>
      </c>
    </row>
    <row r="299" spans="1:22" x14ac:dyDescent="0.2">
      <c r="B299" s="52"/>
      <c r="C299" s="52"/>
      <c r="D299" s="52">
        <f>D134-D295</f>
        <v>1904834</v>
      </c>
      <c r="E299" s="109">
        <f>E134-E295</f>
        <v>0</v>
      </c>
      <c r="F299" s="52">
        <f>F134-F295</f>
        <v>1434699</v>
      </c>
      <c r="G299" s="52"/>
      <c r="H299" s="109"/>
      <c r="I299" s="52"/>
      <c r="J299" s="52"/>
      <c r="K299" s="109"/>
      <c r="L299" s="109"/>
      <c r="M299" s="52"/>
      <c r="N299" s="52"/>
      <c r="O299" s="109"/>
      <c r="R299" s="52">
        <v>1104593424</v>
      </c>
    </row>
    <row r="300" spans="1:22" x14ac:dyDescent="0.2">
      <c r="G300" s="52"/>
      <c r="H300" s="52"/>
      <c r="I300" s="52"/>
      <c r="J300" s="52"/>
      <c r="K300" s="52"/>
    </row>
    <row r="301" spans="1:22" x14ac:dyDescent="0.2">
      <c r="B301" s="54"/>
      <c r="C301" s="54"/>
      <c r="D301" s="54"/>
      <c r="E301" s="54" t="s">
        <v>861</v>
      </c>
      <c r="F301" s="314"/>
      <c r="G301" s="314"/>
      <c r="H301" s="314"/>
      <c r="I301" s="314"/>
      <c r="J301" s="314"/>
      <c r="K301" s="314"/>
      <c r="L301" s="314" t="s">
        <v>510</v>
      </c>
      <c r="M301" s="387" t="s">
        <v>510</v>
      </c>
      <c r="N301" s="314" t="s">
        <v>510</v>
      </c>
      <c r="O301" s="314" t="s">
        <v>510</v>
      </c>
    </row>
    <row r="302" spans="1:22" x14ac:dyDescent="0.2">
      <c r="B302" s="54" t="s">
        <v>510</v>
      </c>
      <c r="C302" s="54" t="s">
        <v>510</v>
      </c>
      <c r="D302" s="54" t="s">
        <v>510</v>
      </c>
      <c r="E302" s="118"/>
      <c r="F302" s="54" t="s">
        <v>510</v>
      </c>
      <c r="G302" s="54" t="s">
        <v>510</v>
      </c>
      <c r="H302" s="54" t="s">
        <v>510</v>
      </c>
      <c r="I302" s="54" t="s">
        <v>510</v>
      </c>
      <c r="J302" s="54" t="s">
        <v>510</v>
      </c>
      <c r="K302" s="54" t="s">
        <v>510</v>
      </c>
      <c r="L302" s="54" t="s">
        <v>153</v>
      </c>
      <c r="M302" s="81" t="s">
        <v>61</v>
      </c>
      <c r="N302" s="68"/>
      <c r="O302" s="54" t="s">
        <v>148</v>
      </c>
    </row>
    <row r="303" spans="1:22" x14ac:dyDescent="0.2">
      <c r="A303" s="52"/>
      <c r="B303" s="54" t="s">
        <v>144</v>
      </c>
      <c r="C303" s="91" t="s">
        <v>346</v>
      </c>
      <c r="D303" s="69" t="s">
        <v>145</v>
      </c>
      <c r="E303" s="69" t="s">
        <v>146</v>
      </c>
      <c r="F303" s="69" t="s">
        <v>147</v>
      </c>
      <c r="G303" s="40" t="s">
        <v>148</v>
      </c>
      <c r="H303" s="40" t="s">
        <v>149</v>
      </c>
      <c r="I303" s="40" t="s">
        <v>150</v>
      </c>
      <c r="J303" s="40" t="s">
        <v>151</v>
      </c>
      <c r="K303" s="104" t="s">
        <v>152</v>
      </c>
      <c r="L303" s="54" t="s">
        <v>154</v>
      </c>
      <c r="M303" s="81" t="s">
        <v>155</v>
      </c>
      <c r="N303" s="54" t="s">
        <v>156</v>
      </c>
      <c r="O303" s="54" t="s">
        <v>157</v>
      </c>
    </row>
    <row r="304" spans="1:22" x14ac:dyDescent="0.2">
      <c r="A304" s="52" t="s">
        <v>308</v>
      </c>
      <c r="B304" s="50">
        <f>24278+1536757+2714</f>
        <v>1563749</v>
      </c>
      <c r="C304" s="50">
        <f>302675+604709+114949+172159</f>
        <v>1194492</v>
      </c>
      <c r="D304" s="52">
        <f>71175694+3799703-3522599</f>
        <v>71452798</v>
      </c>
      <c r="E304" s="109"/>
      <c r="F304" s="52">
        <f>463125+243750+109086+19739+49746+47990+39000+7800+177727+528115+57641+40000</f>
        <v>1783719</v>
      </c>
      <c r="G304" s="52">
        <f>15244765</f>
        <v>15244765</v>
      </c>
      <c r="H304" s="52">
        <v>4335036</v>
      </c>
      <c r="I304" s="109"/>
      <c r="J304" s="109">
        <v>0</v>
      </c>
      <c r="K304" s="52">
        <v>25691166</v>
      </c>
      <c r="L304" s="52"/>
      <c r="M304" s="109">
        <v>2293247</v>
      </c>
      <c r="N304" s="52"/>
      <c r="O304" s="52"/>
      <c r="P304" s="31">
        <f>SUM(B304:O304)</f>
        <v>123558972</v>
      </c>
    </row>
    <row r="305" spans="1:20" x14ac:dyDescent="0.2">
      <c r="A305" s="52" t="s">
        <v>309</v>
      </c>
      <c r="B305" s="50">
        <f>-955456</f>
        <v>-955456</v>
      </c>
      <c r="C305" s="50">
        <f>-256476-308103-71409-106580+1</f>
        <v>-742567</v>
      </c>
      <c r="D305" s="52">
        <f>-53824806-17350888-44336-11084-11085-11084-11084-11084-11084+(-155179-11084)</f>
        <v>-71452798</v>
      </c>
      <c r="E305" s="109"/>
      <c r="F305" s="52">
        <f>-152600-109086-74598-47990-763483-40000-39000-28232</f>
        <v>-1254989</v>
      </c>
      <c r="G305" s="52">
        <f>-13915566-78662</f>
        <v>-13994228</v>
      </c>
      <c r="H305" s="52">
        <f>-2395107</f>
        <v>-2395107</v>
      </c>
      <c r="I305" s="109"/>
      <c r="J305" s="109">
        <v>0</v>
      </c>
      <c r="K305" s="52">
        <f>-211740-70580-70580-70580-70580-70580-(70580+70580+70580+70580+1)-(70580+70580+70580+70580)-(70580+70581+70580+70580)-(70580+70580+70580+70580)-(70580)</f>
        <v>-1764502</v>
      </c>
      <c r="L305" s="52"/>
      <c r="M305" s="109">
        <f>-1563613</f>
        <v>-1563613</v>
      </c>
      <c r="N305" s="52"/>
      <c r="O305" s="52"/>
      <c r="P305" s="31">
        <f>SUM(B305:O305)</f>
        <v>-94123260</v>
      </c>
    </row>
    <row r="306" spans="1:20" x14ac:dyDescent="0.2">
      <c r="A306" s="52"/>
      <c r="B306" s="50">
        <f>SUM(B304:B305)</f>
        <v>608293</v>
      </c>
      <c r="C306" s="50">
        <f>SUM(C304:C305)</f>
        <v>451925</v>
      </c>
      <c r="D306" s="50">
        <f>SUM(D304:D305)</f>
        <v>0</v>
      </c>
      <c r="E306" s="109"/>
      <c r="F306" s="50">
        <f>SUM(F304:F305)</f>
        <v>528730</v>
      </c>
      <c r="G306" s="50">
        <f t="shared" ref="G306:O306" si="14">SUM(G304:G305)</f>
        <v>1250537</v>
      </c>
      <c r="H306" s="50">
        <f>SUM(H304:H305)</f>
        <v>1939929</v>
      </c>
      <c r="I306" s="101">
        <f t="shared" si="14"/>
        <v>0</v>
      </c>
      <c r="J306" s="101">
        <f t="shared" si="14"/>
        <v>0</v>
      </c>
      <c r="K306" s="50">
        <f t="shared" si="14"/>
        <v>23926664</v>
      </c>
      <c r="L306" s="50">
        <f t="shared" si="14"/>
        <v>0</v>
      </c>
      <c r="M306" s="101">
        <f t="shared" si="14"/>
        <v>729634</v>
      </c>
      <c r="N306" s="50">
        <f t="shared" si="14"/>
        <v>0</v>
      </c>
      <c r="O306" s="50">
        <f t="shared" si="14"/>
        <v>0</v>
      </c>
      <c r="P306" s="50">
        <f>SUM(P304:P305)</f>
        <v>29435712</v>
      </c>
    </row>
    <row r="307" spans="1:20" x14ac:dyDescent="0.2">
      <c r="B307" s="52">
        <f t="shared" ref="B307:O307" si="15">B306-B8</f>
        <v>0</v>
      </c>
      <c r="C307" s="52">
        <f t="shared" si="15"/>
        <v>0</v>
      </c>
      <c r="D307" s="52">
        <f t="shared" si="15"/>
        <v>0</v>
      </c>
      <c r="E307" s="109">
        <f t="shared" si="15"/>
        <v>0</v>
      </c>
      <c r="F307" s="52">
        <f t="shared" si="15"/>
        <v>526041</v>
      </c>
      <c r="G307" s="52">
        <f t="shared" si="15"/>
        <v>0</v>
      </c>
      <c r="H307" s="52">
        <f t="shared" si="15"/>
        <v>0</v>
      </c>
      <c r="I307" s="109">
        <f t="shared" si="15"/>
        <v>0</v>
      </c>
      <c r="J307" s="109">
        <f t="shared" si="15"/>
        <v>0</v>
      </c>
      <c r="K307" s="52">
        <f t="shared" si="15"/>
        <v>0</v>
      </c>
      <c r="L307" s="52">
        <f t="shared" si="15"/>
        <v>0</v>
      </c>
      <c r="M307" s="109">
        <f t="shared" si="15"/>
        <v>0</v>
      </c>
      <c r="N307" s="52">
        <f t="shared" si="15"/>
        <v>0</v>
      </c>
      <c r="O307" s="52">
        <f t="shared" si="15"/>
        <v>0</v>
      </c>
    </row>
    <row r="308" spans="1:20" x14ac:dyDescent="0.2">
      <c r="A308" s="64" t="s">
        <v>324</v>
      </c>
      <c r="B308" s="52">
        <v>0</v>
      </c>
      <c r="C308" s="52">
        <v>0</v>
      </c>
      <c r="D308" s="52">
        <v>0</v>
      </c>
      <c r="E308" s="109">
        <v>0</v>
      </c>
      <c r="F308" s="52">
        <v>0</v>
      </c>
      <c r="G308" s="52">
        <v>0</v>
      </c>
      <c r="H308" s="52">
        <v>193443</v>
      </c>
      <c r="I308" s="109">
        <v>0</v>
      </c>
      <c r="J308" s="109">
        <v>0</v>
      </c>
      <c r="K308" s="52">
        <v>0</v>
      </c>
      <c r="L308" s="52">
        <v>0</v>
      </c>
      <c r="M308" s="52">
        <v>4210</v>
      </c>
      <c r="N308" s="52">
        <v>0</v>
      </c>
      <c r="O308" s="52">
        <v>0</v>
      </c>
      <c r="P308" s="31">
        <f>SUM(B308:O308)</f>
        <v>197653</v>
      </c>
    </row>
    <row r="309" spans="1:20" x14ac:dyDescent="0.2">
      <c r="A309" s="64" t="s">
        <v>323</v>
      </c>
      <c r="B309" s="52">
        <v>45670</v>
      </c>
      <c r="C309" s="52">
        <f>32867</f>
        <v>32867</v>
      </c>
      <c r="D309" s="52">
        <v>0</v>
      </c>
      <c r="E309" s="109">
        <v>0</v>
      </c>
      <c r="F309" s="52">
        <v>2463</v>
      </c>
      <c r="G309" s="52">
        <v>78662</v>
      </c>
      <c r="H309" s="52">
        <f>154747</f>
        <v>154747</v>
      </c>
      <c r="I309" s="109">
        <v>0</v>
      </c>
      <c r="J309" s="109">
        <v>0</v>
      </c>
      <c r="K309" s="52">
        <v>0</v>
      </c>
      <c r="L309" s="52">
        <v>0</v>
      </c>
      <c r="M309" s="52">
        <v>44185</v>
      </c>
      <c r="N309" s="52">
        <v>0</v>
      </c>
      <c r="O309" s="52">
        <v>0</v>
      </c>
      <c r="P309" s="98">
        <f>SUM(B309:O309)</f>
        <v>358594</v>
      </c>
      <c r="Q309" s="67" t="s">
        <v>325</v>
      </c>
    </row>
    <row r="310" spans="1:20" x14ac:dyDescent="0.2">
      <c r="A310" s="64" t="s">
        <v>692</v>
      </c>
      <c r="B310" s="52"/>
      <c r="C310" s="52"/>
      <c r="D310" s="52">
        <v>11084</v>
      </c>
      <c r="E310" s="109"/>
      <c r="F310" s="52">
        <f>2316</f>
        <v>2316</v>
      </c>
      <c r="G310" s="52"/>
      <c r="H310" s="52"/>
      <c r="I310" s="109"/>
      <c r="J310" s="109"/>
      <c r="K310" s="52"/>
      <c r="L310" s="52"/>
      <c r="M310" s="109"/>
      <c r="N310" s="52"/>
      <c r="O310" s="52"/>
      <c r="P310" s="98">
        <f>SUM(B310:O310)</f>
        <v>13400</v>
      </c>
      <c r="Q310" s="67" t="s">
        <v>325</v>
      </c>
    </row>
    <row r="311" spans="1:20" x14ac:dyDescent="0.2">
      <c r="A311" s="64" t="s">
        <v>521</v>
      </c>
      <c r="B311" s="52">
        <v>0</v>
      </c>
      <c r="C311" s="52">
        <v>0</v>
      </c>
      <c r="D311" s="52"/>
      <c r="E311" s="109"/>
      <c r="F311" s="52">
        <v>0</v>
      </c>
      <c r="G311" s="52">
        <v>0</v>
      </c>
      <c r="H311" s="52">
        <v>356151</v>
      </c>
      <c r="I311" s="109"/>
      <c r="J311" s="109">
        <v>0</v>
      </c>
      <c r="K311" s="52"/>
      <c r="L311" s="52"/>
      <c r="M311" s="109">
        <v>0</v>
      </c>
      <c r="N311" s="52"/>
      <c r="O311" s="52"/>
    </row>
    <row r="312" spans="1:20" x14ac:dyDescent="0.2">
      <c r="B312" s="119">
        <v>0</v>
      </c>
      <c r="C312" s="52">
        <v>0</v>
      </c>
      <c r="D312" s="52"/>
      <c r="E312" s="109"/>
      <c r="F312" s="52">
        <v>0</v>
      </c>
      <c r="G312" s="52">
        <v>0</v>
      </c>
      <c r="H312" s="52">
        <f>-176304</f>
        <v>-176304</v>
      </c>
      <c r="I312" s="109"/>
      <c r="J312" s="109">
        <v>0</v>
      </c>
      <c r="K312" s="52"/>
      <c r="L312" s="52"/>
      <c r="M312" s="109">
        <v>0</v>
      </c>
      <c r="N312" s="52"/>
      <c r="O312" s="52"/>
    </row>
    <row r="313" spans="1:20" x14ac:dyDescent="0.2">
      <c r="B313" s="230">
        <f>SUM(B311:B312)</f>
        <v>0</v>
      </c>
      <c r="C313" s="230">
        <f>SUM(C311:C312)</f>
        <v>0</v>
      </c>
      <c r="D313" s="52"/>
      <c r="E313" s="109"/>
      <c r="F313" s="230">
        <f>SUM(F311:F312)</f>
        <v>0</v>
      </c>
      <c r="G313" s="230">
        <f>SUM(G311:G312)</f>
        <v>0</v>
      </c>
      <c r="H313" s="230">
        <f>SUM(H311:H312)</f>
        <v>179847</v>
      </c>
      <c r="I313" s="109"/>
      <c r="J313" s="370">
        <f>SUM(J311:J312)</f>
        <v>0</v>
      </c>
      <c r="K313" s="52"/>
      <c r="L313" s="52"/>
      <c r="M313" s="370">
        <f>SUM(M311:M312)</f>
        <v>0</v>
      </c>
      <c r="N313" s="52"/>
      <c r="O313" s="52"/>
    </row>
    <row r="314" spans="1:20" x14ac:dyDescent="0.2">
      <c r="B314" s="52">
        <v>0</v>
      </c>
      <c r="C314" s="52">
        <v>0</v>
      </c>
      <c r="D314" s="52"/>
      <c r="E314" s="109"/>
      <c r="F314" s="52">
        <v>0</v>
      </c>
      <c r="G314" s="52">
        <v>0</v>
      </c>
      <c r="H314" s="52">
        <v>173585</v>
      </c>
      <c r="I314" s="109"/>
      <c r="J314" s="109"/>
      <c r="K314" s="52">
        <v>0</v>
      </c>
      <c r="L314" s="52"/>
      <c r="M314" s="109">
        <v>0</v>
      </c>
      <c r="N314" s="52"/>
      <c r="O314" s="52"/>
      <c r="P314" s="31">
        <f>SUM(B314:O314)</f>
        <v>173585</v>
      </c>
    </row>
    <row r="315" spans="1:20" x14ac:dyDescent="0.2">
      <c r="B315" s="52">
        <f>B314-B313</f>
        <v>0</v>
      </c>
      <c r="C315" s="52">
        <f>C314-C313</f>
        <v>0</v>
      </c>
      <c r="D315" s="52"/>
      <c r="E315" s="109" t="s">
        <v>336</v>
      </c>
      <c r="F315" s="240">
        <f>F314-F313</f>
        <v>0</v>
      </c>
      <c r="G315" s="52">
        <f>G314-G313</f>
        <v>0</v>
      </c>
      <c r="H315" s="52">
        <f>H314-H313</f>
        <v>-6262</v>
      </c>
      <c r="I315" s="109"/>
      <c r="J315" s="109"/>
      <c r="K315" s="52">
        <v>0</v>
      </c>
      <c r="L315" s="52"/>
      <c r="M315" s="109">
        <f>M314-M313</f>
        <v>0</v>
      </c>
      <c r="N315" s="52"/>
      <c r="O315" s="52"/>
      <c r="P315" s="98">
        <f>SUM(B315:O315)</f>
        <v>-6262</v>
      </c>
      <c r="Q315" s="67" t="s">
        <v>326</v>
      </c>
    </row>
    <row r="316" spans="1:20" x14ac:dyDescent="0.2">
      <c r="B316" s="52"/>
      <c r="C316" s="52"/>
      <c r="D316" s="50"/>
      <c r="E316" s="109"/>
      <c r="F316" s="52">
        <v>0</v>
      </c>
      <c r="G316" s="52">
        <v>0</v>
      </c>
      <c r="H316" s="52"/>
      <c r="I316" s="109"/>
      <c r="J316" s="109">
        <v>0</v>
      </c>
      <c r="K316" s="52">
        <v>0</v>
      </c>
      <c r="L316" s="52"/>
      <c r="M316" s="109"/>
      <c r="N316" s="52"/>
      <c r="O316" s="52"/>
      <c r="P316" s="31">
        <f>SUM(P314:P315)</f>
        <v>167323</v>
      </c>
    </row>
    <row r="317" spans="1:20" x14ac:dyDescent="0.2">
      <c r="B317" s="109"/>
      <c r="C317" s="109"/>
      <c r="D317" s="109"/>
      <c r="E317" s="109"/>
      <c r="F317" s="52">
        <v>0</v>
      </c>
      <c r="G317" s="52">
        <v>0</v>
      </c>
      <c r="H317" s="109"/>
      <c r="I317" s="109"/>
      <c r="J317" s="109">
        <v>0</v>
      </c>
      <c r="K317" s="52">
        <f>K316-K25</f>
        <v>0</v>
      </c>
      <c r="L317" s="52"/>
      <c r="M317" s="109"/>
      <c r="N317" s="52"/>
      <c r="O317" s="52"/>
    </row>
    <row r="318" spans="1:20" x14ac:dyDescent="0.2">
      <c r="B318" s="109"/>
      <c r="C318" s="109"/>
      <c r="D318" s="109"/>
      <c r="E318" s="109" t="s">
        <v>588</v>
      </c>
      <c r="F318" s="230">
        <f>SUM(F316:F317)</f>
        <v>0</v>
      </c>
      <c r="G318" s="230">
        <f>SUM(G316:G317)</f>
        <v>0</v>
      </c>
      <c r="H318" s="109"/>
      <c r="I318" s="109"/>
      <c r="J318" s="370">
        <f>SUM(J316:J317)</f>
        <v>0</v>
      </c>
      <c r="K318" s="52"/>
      <c r="L318" s="52"/>
      <c r="M318" s="109"/>
      <c r="N318" s="52"/>
      <c r="O318" s="52"/>
    </row>
    <row r="319" spans="1:20" x14ac:dyDescent="0.2">
      <c r="B319" s="109"/>
      <c r="C319" s="109"/>
      <c r="D319" s="109"/>
      <c r="E319" s="109"/>
      <c r="F319" s="109"/>
      <c r="G319" s="109"/>
      <c r="H319" s="109"/>
      <c r="I319" s="109"/>
      <c r="J319" s="109"/>
      <c r="K319" s="109"/>
      <c r="L319" s="52"/>
      <c r="M319" s="109"/>
      <c r="N319" s="109"/>
      <c r="O319" s="52"/>
      <c r="P319" s="31">
        <f>P304+P314</f>
        <v>123732557</v>
      </c>
      <c r="R319" s="52">
        <f>R25+R27-S26-S28</f>
        <v>0</v>
      </c>
      <c r="T319" s="31">
        <f>P319+R319</f>
        <v>123732557</v>
      </c>
    </row>
    <row r="320" spans="1:20" x14ac:dyDescent="0.2">
      <c r="B320" s="109"/>
      <c r="C320" s="109"/>
      <c r="D320" s="109"/>
      <c r="E320" s="109"/>
      <c r="F320" s="109"/>
      <c r="G320" s="109"/>
      <c r="H320" s="109"/>
      <c r="I320" s="109"/>
      <c r="J320" s="109"/>
      <c r="K320" s="109"/>
      <c r="L320" s="109"/>
      <c r="M320" s="109"/>
      <c r="N320" s="109"/>
      <c r="O320" s="109"/>
      <c r="P320" s="31">
        <f>P305+P315</f>
        <v>-94129522</v>
      </c>
      <c r="T320" s="31">
        <f>P320+R320</f>
        <v>-94129522</v>
      </c>
    </row>
    <row r="321" spans="1:20" x14ac:dyDescent="0.2">
      <c r="A321" s="64"/>
      <c r="B321" s="109"/>
      <c r="C321" s="109"/>
      <c r="D321" s="109"/>
      <c r="E321" s="109"/>
      <c r="F321" s="109"/>
      <c r="G321" s="109"/>
      <c r="H321" s="109"/>
      <c r="I321" s="109"/>
      <c r="J321" s="109"/>
      <c r="K321" s="109"/>
      <c r="L321" s="109"/>
      <c r="M321" s="109"/>
      <c r="N321" s="109"/>
      <c r="O321" s="109"/>
      <c r="P321" s="31">
        <f>SUM(P319:P320)</f>
        <v>29603035</v>
      </c>
      <c r="T321" s="31">
        <f>SUM(T319:T320)</f>
        <v>29603035</v>
      </c>
    </row>
    <row r="322" spans="1:20" x14ac:dyDescent="0.2">
      <c r="B322" s="109"/>
      <c r="C322" s="109"/>
      <c r="D322" s="109"/>
      <c r="E322" s="109"/>
      <c r="F322" s="109"/>
      <c r="G322" s="109"/>
      <c r="H322" s="109"/>
      <c r="I322" s="109"/>
      <c r="J322" s="109"/>
      <c r="K322" s="109"/>
      <c r="L322" s="109"/>
      <c r="M322" s="109"/>
      <c r="N322" s="109"/>
      <c r="O322" s="109"/>
    </row>
    <row r="323" spans="1:20" x14ac:dyDescent="0.2">
      <c r="A323" s="64"/>
    </row>
    <row r="324" spans="1:20" x14ac:dyDescent="0.2">
      <c r="A324" s="64"/>
    </row>
    <row r="325" spans="1:20" x14ac:dyDescent="0.2">
      <c r="A325" s="64"/>
    </row>
    <row r="326" spans="1:20" x14ac:dyDescent="0.2">
      <c r="A326" s="64"/>
    </row>
    <row r="327" spans="1:20" x14ac:dyDescent="0.2">
      <c r="A327" s="64"/>
    </row>
    <row r="331" spans="1:20" x14ac:dyDescent="0.2">
      <c r="A331" s="47"/>
    </row>
    <row r="332" spans="1:20" x14ac:dyDescent="0.2">
      <c r="A332" s="47"/>
    </row>
    <row r="333" spans="1:20" x14ac:dyDescent="0.2">
      <c r="A333" s="76"/>
    </row>
    <row r="334" spans="1:20" x14ac:dyDescent="0.2">
      <c r="A334" s="76"/>
    </row>
    <row r="335" spans="1:20" x14ac:dyDescent="0.2">
      <c r="A335" s="76"/>
    </row>
  </sheetData>
  <mergeCells count="3">
    <mergeCell ref="A1:T1"/>
    <mergeCell ref="A2:T2"/>
    <mergeCell ref="R4:S4"/>
  </mergeCells>
  <phoneticPr fontId="7" type="noConversion"/>
  <printOptions horizontalCentered="1" verticalCentered="1"/>
  <pageMargins left="0.19685039370078741" right="0.19685039370078741" top="0.19685039370078741" bottom="0" header="0.15748031496062992" footer="0"/>
  <pageSetup paperSize="8" scale="6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workbookViewId="0">
      <selection sqref="A1:AP1"/>
    </sheetView>
  </sheetViews>
  <sheetFormatPr defaultColWidth="8.7109375" defaultRowHeight="11.25" x14ac:dyDescent="0.2"/>
  <cols>
    <col min="1" max="1" width="4.140625" style="393" customWidth="1"/>
    <col min="2" max="2" width="4.42578125" style="391" customWidth="1"/>
    <col min="3" max="3" width="39.28515625" style="391" customWidth="1"/>
    <col min="4" max="5" width="15.85546875" style="392" customWidth="1"/>
    <col min="6" max="16384" width="8.7109375" style="391"/>
  </cols>
  <sheetData>
    <row r="1" spans="1:5" x14ac:dyDescent="0.2">
      <c r="A1" s="390" t="s">
        <v>165</v>
      </c>
    </row>
    <row r="2" spans="1:5" x14ac:dyDescent="0.2">
      <c r="A2" s="390" t="s">
        <v>1220</v>
      </c>
    </row>
    <row r="3" spans="1:5" x14ac:dyDescent="0.2">
      <c r="A3" s="390" t="s">
        <v>1221</v>
      </c>
    </row>
    <row r="4" spans="1:5" x14ac:dyDescent="0.2">
      <c r="D4" s="394"/>
      <c r="E4" s="394"/>
    </row>
    <row r="5" spans="1:5" x14ac:dyDescent="0.2">
      <c r="D5" s="394" t="s">
        <v>158</v>
      </c>
      <c r="E5" s="394" t="s">
        <v>159</v>
      </c>
    </row>
    <row r="7" spans="1:5" x14ac:dyDescent="0.2">
      <c r="A7" s="393" t="s">
        <v>1216</v>
      </c>
      <c r="B7" s="391" t="s">
        <v>1222</v>
      </c>
      <c r="D7" s="404">
        <v>28000000</v>
      </c>
    </row>
    <row r="8" spans="1:5" x14ac:dyDescent="0.2">
      <c r="B8" s="391" t="s">
        <v>1223</v>
      </c>
      <c r="D8" s="404">
        <v>27606591</v>
      </c>
    </row>
    <row r="9" spans="1:5" x14ac:dyDescent="0.2">
      <c r="C9" s="391" t="s">
        <v>1224</v>
      </c>
      <c r="E9" s="404">
        <v>55606591</v>
      </c>
    </row>
    <row r="11" spans="1:5" x14ac:dyDescent="0.2">
      <c r="B11" s="391" t="s">
        <v>1225</v>
      </c>
    </row>
    <row r="13" spans="1:5" x14ac:dyDescent="0.2">
      <c r="A13" s="393" t="s">
        <v>1217</v>
      </c>
      <c r="B13" s="391" t="s">
        <v>1226</v>
      </c>
      <c r="D13" s="404">
        <v>1000000</v>
      </c>
    </row>
    <row r="14" spans="1:5" x14ac:dyDescent="0.2">
      <c r="B14" s="391" t="s">
        <v>1223</v>
      </c>
      <c r="D14" s="404">
        <v>2673302</v>
      </c>
    </row>
    <row r="15" spans="1:5" x14ac:dyDescent="0.2">
      <c r="B15" s="391" t="s">
        <v>173</v>
      </c>
      <c r="D15" s="404">
        <v>68955405</v>
      </c>
    </row>
    <row r="16" spans="1:5" x14ac:dyDescent="0.2">
      <c r="B16" s="391" t="s">
        <v>19</v>
      </c>
      <c r="D16" s="404">
        <v>169000000</v>
      </c>
    </row>
    <row r="17" spans="1:5" x14ac:dyDescent="0.2">
      <c r="C17" s="391" t="s">
        <v>1224</v>
      </c>
      <c r="E17" s="404">
        <v>178282343</v>
      </c>
    </row>
    <row r="18" spans="1:5" x14ac:dyDescent="0.2">
      <c r="C18" s="391" t="s">
        <v>21</v>
      </c>
      <c r="E18" s="404">
        <v>16026364</v>
      </c>
    </row>
    <row r="19" spans="1:5" x14ac:dyDescent="0.2">
      <c r="C19" s="391" t="s">
        <v>1227</v>
      </c>
      <c r="E19" s="404">
        <v>47320000</v>
      </c>
    </row>
    <row r="21" spans="1:5" x14ac:dyDescent="0.2">
      <c r="B21" s="391" t="s">
        <v>1228</v>
      </c>
    </row>
    <row r="23" spans="1:5" x14ac:dyDescent="0.2">
      <c r="A23" s="393" t="s">
        <v>1229</v>
      </c>
      <c r="B23" s="391" t="s">
        <v>1230</v>
      </c>
      <c r="D23" s="404">
        <v>2000000</v>
      </c>
    </row>
    <row r="24" spans="1:5" x14ac:dyDescent="0.2">
      <c r="B24" s="391" t="s">
        <v>350</v>
      </c>
      <c r="D24" s="404">
        <v>436809</v>
      </c>
    </row>
    <row r="25" spans="1:5" x14ac:dyDescent="0.2">
      <c r="B25" s="391" t="s">
        <v>347</v>
      </c>
      <c r="D25" s="404">
        <v>27417477</v>
      </c>
    </row>
    <row r="26" spans="1:5" x14ac:dyDescent="0.2">
      <c r="B26" s="391" t="s">
        <v>620</v>
      </c>
      <c r="D26" s="404">
        <v>20696808</v>
      </c>
    </row>
    <row r="27" spans="1:5" x14ac:dyDescent="0.2">
      <c r="C27" s="391" t="s">
        <v>1224</v>
      </c>
      <c r="E27" s="404">
        <v>35079930</v>
      </c>
    </row>
    <row r="28" spans="1:5" x14ac:dyDescent="0.2">
      <c r="C28" s="391" t="s">
        <v>173</v>
      </c>
      <c r="E28" s="404">
        <v>624113</v>
      </c>
    </row>
    <row r="29" spans="1:5" x14ac:dyDescent="0.2">
      <c r="C29" s="391" t="s">
        <v>1231</v>
      </c>
      <c r="E29" s="404">
        <v>14847051</v>
      </c>
    </row>
    <row r="31" spans="1:5" x14ac:dyDescent="0.2">
      <c r="B31" s="391" t="s">
        <v>1232</v>
      </c>
    </row>
    <row r="33" spans="1:5" x14ac:dyDescent="0.2">
      <c r="A33" s="393" t="s">
        <v>1218</v>
      </c>
      <c r="B33" s="391" t="s">
        <v>14</v>
      </c>
    </row>
    <row r="34" spans="1:5" x14ac:dyDescent="0.2">
      <c r="B34" s="391" t="s">
        <v>1233</v>
      </c>
      <c r="D34" s="404">
        <v>9000000</v>
      </c>
    </row>
    <row r="35" spans="1:5" x14ac:dyDescent="0.2">
      <c r="B35" s="391" t="s">
        <v>1234</v>
      </c>
      <c r="D35" s="404">
        <v>2</v>
      </c>
    </row>
    <row r="36" spans="1:5" x14ac:dyDescent="0.2">
      <c r="B36" s="391" t="s">
        <v>1235</v>
      </c>
      <c r="D36" s="404">
        <v>2</v>
      </c>
    </row>
    <row r="37" spans="1:5" x14ac:dyDescent="0.2">
      <c r="B37" s="391" t="s">
        <v>1236</v>
      </c>
      <c r="D37" s="404">
        <v>1100002</v>
      </c>
    </row>
    <row r="38" spans="1:5" x14ac:dyDescent="0.2">
      <c r="B38" s="391" t="s">
        <v>1237</v>
      </c>
      <c r="D38" s="404">
        <v>2</v>
      </c>
    </row>
    <row r="39" spans="1:5" x14ac:dyDescent="0.2">
      <c r="B39" s="391" t="s">
        <v>1238</v>
      </c>
      <c r="D39" s="404">
        <v>2</v>
      </c>
    </row>
    <row r="40" spans="1:5" x14ac:dyDescent="0.2">
      <c r="B40" s="391" t="s">
        <v>1239</v>
      </c>
      <c r="D40" s="404">
        <v>100000</v>
      </c>
    </row>
    <row r="41" spans="1:5" x14ac:dyDescent="0.2">
      <c r="B41" s="391" t="s">
        <v>1240</v>
      </c>
      <c r="D41" s="404">
        <v>4500000</v>
      </c>
    </row>
    <row r="42" spans="1:5" x14ac:dyDescent="0.2">
      <c r="B42" s="391" t="s">
        <v>1241</v>
      </c>
      <c r="D42" s="404">
        <v>100000</v>
      </c>
    </row>
    <row r="43" spans="1:5" x14ac:dyDescent="0.2">
      <c r="C43" s="391" t="s">
        <v>1224</v>
      </c>
      <c r="E43" s="404">
        <v>14800010</v>
      </c>
    </row>
    <row r="45" spans="1:5" x14ac:dyDescent="0.2">
      <c r="B45" s="391" t="s">
        <v>1242</v>
      </c>
    </row>
    <row r="47" spans="1:5" x14ac:dyDescent="0.2">
      <c r="A47" s="393" t="s">
        <v>1243</v>
      </c>
      <c r="B47" s="391" t="s">
        <v>1224</v>
      </c>
      <c r="D47" s="404">
        <v>25162</v>
      </c>
    </row>
    <row r="48" spans="1:5" x14ac:dyDescent="0.2">
      <c r="C48" s="391" t="s">
        <v>173</v>
      </c>
      <c r="E48" s="404">
        <v>25162</v>
      </c>
    </row>
    <row r="50" spans="1:5" x14ac:dyDescent="0.2">
      <c r="B50" s="391" t="s">
        <v>1244</v>
      </c>
    </row>
    <row r="53" spans="1:5" x14ac:dyDescent="0.2">
      <c r="A53" s="393">
        <v>2</v>
      </c>
      <c r="B53" s="391" t="s">
        <v>1224</v>
      </c>
      <c r="D53" s="404">
        <v>245382164</v>
      </c>
    </row>
    <row r="54" spans="1:5" x14ac:dyDescent="0.2">
      <c r="C54" s="391" t="s">
        <v>173</v>
      </c>
      <c r="E54" s="404">
        <v>138751069</v>
      </c>
    </row>
    <row r="55" spans="1:5" x14ac:dyDescent="0.2">
      <c r="C55" s="391" t="s">
        <v>30</v>
      </c>
      <c r="E55" s="404">
        <v>106631095</v>
      </c>
    </row>
    <row r="57" spans="1:5" x14ac:dyDescent="0.2">
      <c r="B57" s="391" t="s">
        <v>1245</v>
      </c>
    </row>
    <row r="60" spans="1:5" x14ac:dyDescent="0.2">
      <c r="A60" s="393">
        <v>3</v>
      </c>
      <c r="B60" s="391" t="s">
        <v>173</v>
      </c>
      <c r="D60" s="404">
        <v>116920469</v>
      </c>
    </row>
    <row r="61" spans="1:5" x14ac:dyDescent="0.2">
      <c r="B61" s="391" t="s">
        <v>21</v>
      </c>
      <c r="D61" s="404">
        <v>4759531</v>
      </c>
    </row>
    <row r="62" spans="1:5" x14ac:dyDescent="0.2">
      <c r="B62" s="391" t="s">
        <v>22</v>
      </c>
      <c r="D62" s="404">
        <v>47320000</v>
      </c>
    </row>
    <row r="63" spans="1:5" x14ac:dyDescent="0.2">
      <c r="C63" s="391" t="s">
        <v>19</v>
      </c>
      <c r="E63" s="404">
        <v>169000000</v>
      </c>
    </row>
    <row r="65" spans="1:5" x14ac:dyDescent="0.2">
      <c r="B65" s="395" t="s">
        <v>1246</v>
      </c>
      <c r="C65" s="395"/>
    </row>
    <row r="68" spans="1:5" x14ac:dyDescent="0.2">
      <c r="A68" s="393">
        <v>4</v>
      </c>
      <c r="B68" s="391" t="s">
        <v>1247</v>
      </c>
      <c r="D68" s="404">
        <v>11266833</v>
      </c>
    </row>
    <row r="69" spans="1:5" x14ac:dyDescent="0.2">
      <c r="C69" s="391" t="s">
        <v>173</v>
      </c>
      <c r="E69" s="404">
        <v>11266833</v>
      </c>
    </row>
    <row r="71" spans="1:5" x14ac:dyDescent="0.2">
      <c r="B71" s="391" t="s">
        <v>1248</v>
      </c>
    </row>
    <row r="74" spans="1:5" x14ac:dyDescent="0.2">
      <c r="A74" s="393">
        <v>5</v>
      </c>
      <c r="B74" s="391" t="s">
        <v>173</v>
      </c>
      <c r="D74" s="404">
        <v>406832</v>
      </c>
    </row>
    <row r="75" spans="1:5" x14ac:dyDescent="0.2">
      <c r="C75" s="391" t="s">
        <v>1249</v>
      </c>
      <c r="E75" s="404">
        <v>406832</v>
      </c>
    </row>
    <row r="77" spans="1:5" x14ac:dyDescent="0.2">
      <c r="B77" s="391" t="s">
        <v>1250</v>
      </c>
    </row>
    <row r="80" spans="1:5" x14ac:dyDescent="0.2">
      <c r="A80" s="393">
        <v>6</v>
      </c>
      <c r="B80" s="391" t="s">
        <v>8</v>
      </c>
      <c r="D80" s="404">
        <v>131274</v>
      </c>
    </row>
    <row r="81" spans="1:5" x14ac:dyDescent="0.2">
      <c r="B81" s="391" t="s">
        <v>68</v>
      </c>
      <c r="D81" s="404">
        <v>251652</v>
      </c>
    </row>
    <row r="82" spans="1:5" x14ac:dyDescent="0.2">
      <c r="B82" s="391" t="s">
        <v>1223</v>
      </c>
      <c r="D82" s="404">
        <v>366615</v>
      </c>
    </row>
    <row r="83" spans="1:5" x14ac:dyDescent="0.2">
      <c r="C83" s="391" t="s">
        <v>20</v>
      </c>
      <c r="E83" s="404">
        <v>840</v>
      </c>
    </row>
    <row r="84" spans="1:5" x14ac:dyDescent="0.2">
      <c r="C84" s="391" t="s">
        <v>173</v>
      </c>
      <c r="E84" s="404">
        <v>748701</v>
      </c>
    </row>
    <row r="86" spans="1:5" x14ac:dyDescent="0.2">
      <c r="B86" s="391" t="s">
        <v>1251</v>
      </c>
    </row>
    <row r="88" spans="1:5" x14ac:dyDescent="0.2">
      <c r="A88" s="393" t="s">
        <v>1252</v>
      </c>
      <c r="B88" s="391" t="s">
        <v>68</v>
      </c>
      <c r="D88" s="404">
        <v>131274</v>
      </c>
    </row>
    <row r="89" spans="1:5" x14ac:dyDescent="0.2">
      <c r="B89" s="391" t="s">
        <v>1253</v>
      </c>
    </row>
    <row r="90" spans="1:5" x14ac:dyDescent="0.2">
      <c r="C90" s="391" t="s">
        <v>8</v>
      </c>
      <c r="E90" s="404">
        <v>131274</v>
      </c>
    </row>
    <row r="92" spans="1:5" x14ac:dyDescent="0.2">
      <c r="B92" s="391" t="s">
        <v>1254</v>
      </c>
    </row>
    <row r="95" spans="1:5" x14ac:dyDescent="0.2">
      <c r="A95" s="393">
        <v>7</v>
      </c>
      <c r="B95" s="391" t="s">
        <v>8</v>
      </c>
      <c r="D95" s="404">
        <v>2914087</v>
      </c>
    </row>
    <row r="96" spans="1:5" x14ac:dyDescent="0.2">
      <c r="C96" s="391" t="s">
        <v>438</v>
      </c>
      <c r="E96" s="404">
        <v>699381</v>
      </c>
    </row>
    <row r="97" spans="1:5" x14ac:dyDescent="0.2">
      <c r="C97" s="391" t="s">
        <v>1223</v>
      </c>
      <c r="E97" s="404">
        <v>2214706</v>
      </c>
    </row>
    <row r="99" spans="1:5" x14ac:dyDescent="0.2">
      <c r="B99" s="391" t="s">
        <v>1255</v>
      </c>
    </row>
    <row r="101" spans="1:5" x14ac:dyDescent="0.2">
      <c r="A101" s="393" t="s">
        <v>1256</v>
      </c>
      <c r="B101" s="391" t="s">
        <v>8</v>
      </c>
      <c r="D101" s="404">
        <v>28088669</v>
      </c>
    </row>
    <row r="102" spans="1:5" x14ac:dyDescent="0.2">
      <c r="C102" s="391" t="s">
        <v>1257</v>
      </c>
      <c r="E102" s="404">
        <v>21347389</v>
      </c>
    </row>
    <row r="103" spans="1:5" x14ac:dyDescent="0.2">
      <c r="C103" s="391" t="s">
        <v>438</v>
      </c>
      <c r="E103" s="404">
        <v>6741280</v>
      </c>
    </row>
    <row r="105" spans="1:5" x14ac:dyDescent="0.2">
      <c r="B105" s="391" t="s">
        <v>1258</v>
      </c>
    </row>
    <row r="106" spans="1:5" x14ac:dyDescent="0.2">
      <c r="B106" s="391" t="s">
        <v>1259</v>
      </c>
    </row>
    <row r="108" spans="1:5" x14ac:dyDescent="0.2">
      <c r="A108" s="393" t="s">
        <v>1260</v>
      </c>
      <c r="B108" s="391" t="s">
        <v>1261</v>
      </c>
      <c r="D108" s="404">
        <v>90387</v>
      </c>
    </row>
    <row r="109" spans="1:5" x14ac:dyDescent="0.2">
      <c r="B109" s="391" t="s">
        <v>438</v>
      </c>
      <c r="D109" s="404">
        <v>19654</v>
      </c>
    </row>
    <row r="110" spans="1:5" x14ac:dyDescent="0.2">
      <c r="C110" s="391" t="s">
        <v>8</v>
      </c>
      <c r="E110" s="404">
        <v>90387</v>
      </c>
    </row>
    <row r="111" spans="1:5" x14ac:dyDescent="0.2">
      <c r="C111" s="391" t="s">
        <v>1262</v>
      </c>
      <c r="E111" s="404">
        <v>19654</v>
      </c>
    </row>
    <row r="113" spans="1:5" x14ac:dyDescent="0.2">
      <c r="B113" s="391" t="s">
        <v>1263</v>
      </c>
    </row>
    <row r="114" spans="1:5" x14ac:dyDescent="0.2">
      <c r="B114" s="391" t="s">
        <v>1264</v>
      </c>
    </row>
    <row r="116" spans="1:5" x14ac:dyDescent="0.2">
      <c r="A116" s="393" t="s">
        <v>1265</v>
      </c>
      <c r="B116" s="391" t="s">
        <v>1266</v>
      </c>
      <c r="D116" s="404">
        <v>70733</v>
      </c>
    </row>
    <row r="117" spans="1:5" x14ac:dyDescent="0.2">
      <c r="C117" s="391" t="s">
        <v>39</v>
      </c>
      <c r="E117" s="404">
        <v>70733</v>
      </c>
    </row>
    <row r="119" spans="1:5" x14ac:dyDescent="0.2">
      <c r="B119" s="391" t="s">
        <v>1267</v>
      </c>
    </row>
    <row r="122" spans="1:5" x14ac:dyDescent="0.2">
      <c r="A122" s="393">
        <v>8</v>
      </c>
      <c r="B122" s="391" t="s">
        <v>1268</v>
      </c>
      <c r="D122" s="404">
        <v>3737805</v>
      </c>
    </row>
    <row r="123" spans="1:5" x14ac:dyDescent="0.2">
      <c r="B123" s="391" t="s">
        <v>173</v>
      </c>
      <c r="D123" s="404">
        <v>3911251</v>
      </c>
    </row>
    <row r="124" spans="1:5" x14ac:dyDescent="0.2">
      <c r="C124" s="391" t="s">
        <v>22</v>
      </c>
      <c r="E124" s="404">
        <v>656858</v>
      </c>
    </row>
    <row r="125" spans="1:5" x14ac:dyDescent="0.2">
      <c r="C125" s="391" t="s">
        <v>1223</v>
      </c>
      <c r="E125" s="404">
        <v>6992198</v>
      </c>
    </row>
    <row r="127" spans="1:5" x14ac:dyDescent="0.2">
      <c r="B127" s="391" t="s">
        <v>1269</v>
      </c>
    </row>
    <row r="130" spans="1:5" x14ac:dyDescent="0.2">
      <c r="A130" s="393" t="s">
        <v>1270</v>
      </c>
      <c r="B130" s="391" t="s">
        <v>1271</v>
      </c>
      <c r="D130" s="404">
        <v>3737805</v>
      </c>
    </row>
    <row r="131" spans="1:5" x14ac:dyDescent="0.2">
      <c r="B131" s="391" t="s">
        <v>438</v>
      </c>
      <c r="D131" s="404">
        <v>656858</v>
      </c>
    </row>
    <row r="132" spans="1:5" x14ac:dyDescent="0.2">
      <c r="C132" s="391" t="s">
        <v>8</v>
      </c>
      <c r="E132" s="404">
        <v>3737805</v>
      </c>
    </row>
    <row r="133" spans="1:5" x14ac:dyDescent="0.2">
      <c r="C133" s="391" t="s">
        <v>1272</v>
      </c>
      <c r="E133" s="404">
        <v>656858</v>
      </c>
    </row>
    <row r="135" spans="1:5" x14ac:dyDescent="0.2">
      <c r="B135" s="391" t="s">
        <v>1273</v>
      </c>
    </row>
    <row r="138" spans="1:5" x14ac:dyDescent="0.2">
      <c r="A138" s="393">
        <v>9</v>
      </c>
      <c r="B138" s="391" t="s">
        <v>173</v>
      </c>
      <c r="D138" s="404">
        <v>436809</v>
      </c>
    </row>
    <row r="139" spans="1:5" x14ac:dyDescent="0.2">
      <c r="C139" s="391" t="s">
        <v>1274</v>
      </c>
      <c r="E139" s="404">
        <v>436809</v>
      </c>
    </row>
    <row r="141" spans="1:5" x14ac:dyDescent="0.2">
      <c r="B141" s="391" t="s">
        <v>1275</v>
      </c>
    </row>
    <row r="144" spans="1:5" x14ac:dyDescent="0.2">
      <c r="A144" s="393">
        <v>10</v>
      </c>
      <c r="B144" s="391" t="s">
        <v>173</v>
      </c>
      <c r="D144" s="404">
        <v>3795936</v>
      </c>
    </row>
    <row r="145" spans="1:5" x14ac:dyDescent="0.2">
      <c r="B145" s="391" t="s">
        <v>30</v>
      </c>
      <c r="D145" s="404">
        <v>467904</v>
      </c>
    </row>
    <row r="146" spans="1:5" x14ac:dyDescent="0.2">
      <c r="C146" s="391" t="s">
        <v>620</v>
      </c>
      <c r="E146" s="404">
        <v>4263840</v>
      </c>
    </row>
    <row r="148" spans="1:5" x14ac:dyDescent="0.2">
      <c r="B148" s="391" t="s">
        <v>1276</v>
      </c>
    </row>
    <row r="151" spans="1:5" x14ac:dyDescent="0.2">
      <c r="A151" s="393">
        <v>11</v>
      </c>
      <c r="B151" s="391" t="s">
        <v>173</v>
      </c>
      <c r="D151" s="404">
        <v>5222900</v>
      </c>
    </row>
    <row r="152" spans="1:5" x14ac:dyDescent="0.2">
      <c r="C152" s="391" t="s">
        <v>1223</v>
      </c>
      <c r="E152" s="404">
        <v>5222900</v>
      </c>
    </row>
    <row r="154" spans="1:5" x14ac:dyDescent="0.2">
      <c r="B154" s="391" t="s">
        <v>1277</v>
      </c>
    </row>
    <row r="157" spans="1:5" x14ac:dyDescent="0.2">
      <c r="A157" s="393">
        <v>12</v>
      </c>
      <c r="B157" s="391" t="s">
        <v>1278</v>
      </c>
      <c r="D157" s="404"/>
    </row>
    <row r="158" spans="1:5" x14ac:dyDescent="0.2">
      <c r="C158" s="391" t="s">
        <v>1279</v>
      </c>
      <c r="E158" s="404"/>
    </row>
    <row r="159" spans="1:5" x14ac:dyDescent="0.2">
      <c r="C159" s="391" t="s">
        <v>1280</v>
      </c>
      <c r="E159" s="404"/>
    </row>
    <row r="161" spans="1:6" x14ac:dyDescent="0.2">
      <c r="B161" s="391" t="s">
        <v>1281</v>
      </c>
    </row>
    <row r="164" spans="1:6" x14ac:dyDescent="0.2">
      <c r="A164" s="393">
        <v>13</v>
      </c>
      <c r="B164" s="391" t="s">
        <v>1282</v>
      </c>
      <c r="D164" s="409">
        <v>25428249</v>
      </c>
    </row>
    <row r="165" spans="1:6" x14ac:dyDescent="0.2">
      <c r="B165" s="391" t="s">
        <v>1283</v>
      </c>
      <c r="D165" s="404">
        <v>2530659</v>
      </c>
    </row>
    <row r="166" spans="1:6" x14ac:dyDescent="0.2">
      <c r="C166" s="391" t="s">
        <v>1284</v>
      </c>
      <c r="E166" s="404">
        <v>27958908</v>
      </c>
    </row>
    <row r="168" spans="1:6" x14ac:dyDescent="0.2">
      <c r="B168" s="391" t="s">
        <v>1285</v>
      </c>
    </row>
    <row r="171" spans="1:6" s="395" customFormat="1" x14ac:dyDescent="0.2">
      <c r="A171" s="396">
        <v>14</v>
      </c>
      <c r="B171" s="395" t="s">
        <v>1286</v>
      </c>
      <c r="D171" s="397">
        <v>450000</v>
      </c>
      <c r="E171" s="397"/>
      <c r="F171" s="396">
        <v>1</v>
      </c>
    </row>
    <row r="172" spans="1:6" s="395" customFormat="1" x14ac:dyDescent="0.2">
      <c r="A172" s="396"/>
      <c r="B172" s="395" t="s">
        <v>1287</v>
      </c>
      <c r="D172" s="397">
        <v>360000</v>
      </c>
      <c r="E172" s="397"/>
      <c r="F172" s="396">
        <v>2</v>
      </c>
    </row>
    <row r="173" spans="1:6" s="395" customFormat="1" x14ac:dyDescent="0.2">
      <c r="A173" s="396"/>
      <c r="B173" s="395" t="s">
        <v>1288</v>
      </c>
      <c r="D173" s="397">
        <v>0</v>
      </c>
      <c r="E173" s="397"/>
      <c r="F173" s="396">
        <v>3</v>
      </c>
    </row>
    <row r="174" spans="1:6" s="395" customFormat="1" x14ac:dyDescent="0.2">
      <c r="A174" s="396"/>
      <c r="B174" s="395" t="s">
        <v>1289</v>
      </c>
      <c r="D174" s="397">
        <v>0</v>
      </c>
      <c r="E174" s="397"/>
      <c r="F174" s="396">
        <v>4</v>
      </c>
    </row>
    <row r="175" spans="1:6" s="395" customFormat="1" x14ac:dyDescent="0.2">
      <c r="A175" s="396"/>
      <c r="C175" s="395" t="s">
        <v>1290</v>
      </c>
      <c r="D175" s="397"/>
      <c r="E175" s="397">
        <v>0</v>
      </c>
      <c r="F175" s="396">
        <v>5</v>
      </c>
    </row>
    <row r="176" spans="1:6" s="395" customFormat="1" x14ac:dyDescent="0.2">
      <c r="A176" s="396"/>
      <c r="C176" s="395" t="s">
        <v>1291</v>
      </c>
      <c r="D176" s="397"/>
      <c r="E176" s="397">
        <v>0</v>
      </c>
      <c r="F176" s="396">
        <v>6</v>
      </c>
    </row>
    <row r="177" spans="1:6" s="395" customFormat="1" x14ac:dyDescent="0.2">
      <c r="A177" s="396"/>
      <c r="C177" s="395" t="s">
        <v>30</v>
      </c>
      <c r="D177" s="397"/>
      <c r="E177" s="397"/>
      <c r="F177" s="396">
        <v>7</v>
      </c>
    </row>
    <row r="178" spans="1:6" s="395" customFormat="1" x14ac:dyDescent="0.2">
      <c r="A178" s="396"/>
      <c r="C178" s="395" t="s">
        <v>1292</v>
      </c>
      <c r="D178" s="397"/>
      <c r="E178" s="397">
        <v>300000</v>
      </c>
      <c r="F178" s="396">
        <v>8</v>
      </c>
    </row>
    <row r="179" spans="1:6" s="395" customFormat="1" x14ac:dyDescent="0.2">
      <c r="A179" s="396"/>
      <c r="C179" s="395" t="s">
        <v>1293</v>
      </c>
      <c r="D179" s="397"/>
      <c r="E179" s="397">
        <v>150000</v>
      </c>
      <c r="F179" s="396">
        <v>9</v>
      </c>
    </row>
    <row r="180" spans="1:6" s="395" customFormat="1" x14ac:dyDescent="0.2">
      <c r="A180" s="396"/>
      <c r="C180" s="395" t="s">
        <v>1294</v>
      </c>
      <c r="D180" s="397"/>
      <c r="E180" s="397">
        <v>360000</v>
      </c>
      <c r="F180" s="396">
        <v>10</v>
      </c>
    </row>
    <row r="181" spans="1:6" s="395" customFormat="1" x14ac:dyDescent="0.2">
      <c r="A181" s="396"/>
      <c r="C181" s="395" t="s">
        <v>1295</v>
      </c>
      <c r="D181" s="397"/>
      <c r="E181" s="397">
        <v>0</v>
      </c>
      <c r="F181" s="396">
        <v>11</v>
      </c>
    </row>
    <row r="182" spans="1:6" s="395" customFormat="1" x14ac:dyDescent="0.2">
      <c r="A182" s="396"/>
      <c r="C182" s="395" t="s">
        <v>1296</v>
      </c>
      <c r="D182" s="397"/>
      <c r="E182" s="397">
        <v>0</v>
      </c>
      <c r="F182" s="396">
        <v>12</v>
      </c>
    </row>
    <row r="183" spans="1:6" s="395" customFormat="1" x14ac:dyDescent="0.2">
      <c r="A183" s="396"/>
      <c r="D183" s="397"/>
      <c r="E183" s="397"/>
      <c r="F183" s="396"/>
    </row>
    <row r="184" spans="1:6" s="395" customFormat="1" x14ac:dyDescent="0.2">
      <c r="A184" s="396"/>
      <c r="B184" s="395" t="s">
        <v>1297</v>
      </c>
      <c r="D184" s="397"/>
      <c r="E184" s="397"/>
    </row>
    <row r="187" spans="1:6" x14ac:dyDescent="0.2">
      <c r="A187" s="393">
        <v>15</v>
      </c>
      <c r="B187" s="391" t="s">
        <v>1148</v>
      </c>
      <c r="D187" s="404">
        <v>2472160</v>
      </c>
    </row>
    <row r="188" spans="1:6" x14ac:dyDescent="0.2">
      <c r="C188" s="391" t="s">
        <v>620</v>
      </c>
      <c r="E188" s="404">
        <v>2472160</v>
      </c>
    </row>
    <row r="190" spans="1:6" x14ac:dyDescent="0.2">
      <c r="B190" s="391" t="s">
        <v>1298</v>
      </c>
    </row>
    <row r="191" spans="1:6" x14ac:dyDescent="0.2">
      <c r="B191" s="391" t="s">
        <v>1299</v>
      </c>
    </row>
    <row r="194" spans="1:5" ht="12" thickBot="1" x14ac:dyDescent="0.25">
      <c r="D194" s="398">
        <f>SUM(D7:D193)</f>
        <v>873940074</v>
      </c>
      <c r="E194" s="398">
        <f>SUM(E7:E193)</f>
        <v>873940074</v>
      </c>
    </row>
    <row r="195" spans="1:5" x14ac:dyDescent="0.2">
      <c r="E195" s="392">
        <f>D194-E194</f>
        <v>0</v>
      </c>
    </row>
    <row r="197" spans="1:5" x14ac:dyDescent="0.2">
      <c r="A197" s="399" t="s">
        <v>1300</v>
      </c>
    </row>
    <row r="198" spans="1:5" x14ac:dyDescent="0.2">
      <c r="A198" s="399" t="s">
        <v>1301</v>
      </c>
    </row>
    <row r="199" spans="1:5" x14ac:dyDescent="0.2">
      <c r="A199" s="399" t="s">
        <v>1302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679"/>
  <sheetViews>
    <sheetView topLeftCell="A33" workbookViewId="0">
      <selection sqref="A1:AP1"/>
    </sheetView>
  </sheetViews>
  <sheetFormatPr defaultRowHeight="11.25" x14ac:dyDescent="0.2"/>
  <cols>
    <col min="1" max="1" width="4.140625" style="418" customWidth="1"/>
    <col min="2" max="2" width="7.140625" style="418" customWidth="1"/>
    <col min="3" max="3" width="41.42578125" style="418" customWidth="1"/>
    <col min="4" max="7" width="13.140625" style="419" customWidth="1"/>
    <col min="8" max="8" width="9.140625" style="419"/>
    <col min="9" max="9" width="9.140625" style="418"/>
    <col min="10" max="10" width="13.28515625" style="418" bestFit="1" customWidth="1"/>
    <col min="11" max="11" width="9.85546875" style="418" bestFit="1" customWidth="1"/>
    <col min="12" max="12" width="2.7109375" style="418" customWidth="1"/>
    <col min="13" max="13" width="11.140625" style="418" bestFit="1" customWidth="1"/>
    <col min="14" max="14" width="12" style="418" bestFit="1" customWidth="1"/>
    <col min="15" max="15" width="10.85546875" style="418" customWidth="1"/>
    <col min="16" max="16" width="11.140625" style="418" bestFit="1" customWidth="1"/>
    <col min="17" max="18" width="12" style="448" bestFit="1" customWidth="1"/>
    <col min="19" max="20" width="11.140625" style="418" bestFit="1" customWidth="1"/>
    <col min="21" max="16384" width="9.140625" style="418"/>
  </cols>
  <sheetData>
    <row r="1" spans="1:14" x14ac:dyDescent="0.2">
      <c r="A1" s="417" t="s">
        <v>165</v>
      </c>
      <c r="F1" s="420">
        <f>D2+F2-E2-G2</f>
        <v>0</v>
      </c>
    </row>
    <row r="2" spans="1:14" x14ac:dyDescent="0.2">
      <c r="A2" s="417" t="s">
        <v>261</v>
      </c>
      <c r="D2" s="420">
        <f>SUM(D6:D254)+SUM(D286:D410)</f>
        <v>28660531.742585115</v>
      </c>
      <c r="E2" s="420">
        <f>SUM(E6:E254)+SUM(E286:E410)</f>
        <v>5909026.7425851142</v>
      </c>
      <c r="F2" s="420">
        <f>SUM(F6:F254)+SUM(F286:F410)</f>
        <v>280329215</v>
      </c>
      <c r="G2" s="420">
        <f>SUM(G6:G254)+SUM(G286:G410)</f>
        <v>303080720</v>
      </c>
    </row>
    <row r="3" spans="1:14" x14ac:dyDescent="0.2">
      <c r="A3" s="417" t="s">
        <v>1076</v>
      </c>
      <c r="D3" s="625" t="s">
        <v>262</v>
      </c>
      <c r="E3" s="625"/>
      <c r="F3" s="625" t="s">
        <v>263</v>
      </c>
      <c r="G3" s="625"/>
      <c r="J3" s="421"/>
    </row>
    <row r="4" spans="1:14" x14ac:dyDescent="0.2">
      <c r="D4" s="422" t="s">
        <v>158</v>
      </c>
      <c r="E4" s="422" t="s">
        <v>159</v>
      </c>
      <c r="F4" s="422" t="s">
        <v>158</v>
      </c>
      <c r="G4" s="422" t="s">
        <v>159</v>
      </c>
    </row>
    <row r="5" spans="1:14" x14ac:dyDescent="0.2">
      <c r="D5" s="423"/>
      <c r="E5" s="423"/>
      <c r="F5" s="423"/>
      <c r="G5" s="423"/>
      <c r="H5" s="424"/>
      <c r="I5" s="425"/>
      <c r="J5" s="425"/>
      <c r="K5" s="425"/>
      <c r="L5" s="425"/>
      <c r="M5" s="425"/>
      <c r="N5" s="425"/>
    </row>
    <row r="6" spans="1:14" x14ac:dyDescent="0.2">
      <c r="H6" s="424"/>
      <c r="I6" s="425"/>
      <c r="J6" s="425"/>
      <c r="K6" s="425"/>
      <c r="L6" s="425"/>
      <c r="M6" s="425"/>
      <c r="N6" s="425"/>
    </row>
    <row r="7" spans="1:14" x14ac:dyDescent="0.2">
      <c r="A7" s="418">
        <v>1</v>
      </c>
      <c r="B7" s="426" t="s">
        <v>265</v>
      </c>
      <c r="C7" s="426"/>
      <c r="D7" s="424"/>
      <c r="E7" s="424"/>
      <c r="F7" s="427">
        <v>95729373</v>
      </c>
      <c r="G7" s="424"/>
      <c r="H7" s="424"/>
      <c r="I7" s="425"/>
      <c r="J7" s="425"/>
      <c r="K7" s="425"/>
      <c r="L7" s="425"/>
      <c r="M7" s="425"/>
      <c r="N7" s="425"/>
    </row>
    <row r="8" spans="1:14" x14ac:dyDescent="0.2">
      <c r="B8" s="426"/>
      <c r="C8" s="426" t="s">
        <v>1312</v>
      </c>
      <c r="D8" s="424"/>
      <c r="E8" s="424"/>
      <c r="F8" s="428"/>
      <c r="G8" s="427">
        <v>10000</v>
      </c>
      <c r="H8" s="424"/>
      <c r="I8" s="425"/>
      <c r="J8" s="425"/>
      <c r="K8" s="425"/>
      <c r="L8" s="425"/>
      <c r="M8" s="425"/>
      <c r="N8" s="425"/>
    </row>
    <row r="9" spans="1:14" x14ac:dyDescent="0.2">
      <c r="B9" s="426" t="s">
        <v>1313</v>
      </c>
      <c r="C9" s="426"/>
      <c r="D9" s="424"/>
      <c r="E9" s="424"/>
      <c r="F9" s="427">
        <v>10000</v>
      </c>
      <c r="G9" s="428"/>
      <c r="H9" s="424"/>
      <c r="I9" s="425"/>
      <c r="J9" s="425"/>
      <c r="K9" s="425"/>
      <c r="L9" s="425"/>
      <c r="M9" s="425"/>
      <c r="N9" s="425"/>
    </row>
    <row r="10" spans="1:14" x14ac:dyDescent="0.2">
      <c r="B10" s="426"/>
      <c r="C10" s="426" t="s">
        <v>1314</v>
      </c>
      <c r="D10" s="424"/>
      <c r="E10" s="424"/>
      <c r="F10" s="424"/>
      <c r="G10" s="427">
        <v>2801</v>
      </c>
      <c r="H10" s="424"/>
      <c r="I10" s="425"/>
      <c r="J10" s="425"/>
      <c r="K10" s="425"/>
      <c r="L10" s="425"/>
      <c r="M10" s="425"/>
      <c r="N10" s="425"/>
    </row>
    <row r="11" spans="1:14" x14ac:dyDescent="0.2">
      <c r="B11" s="426"/>
      <c r="C11" s="426" t="s">
        <v>264</v>
      </c>
      <c r="G11" s="427">
        <v>95726572</v>
      </c>
      <c r="H11" s="424"/>
      <c r="I11" s="425"/>
      <c r="J11" s="425"/>
      <c r="K11" s="425"/>
      <c r="L11" s="425"/>
      <c r="M11" s="425"/>
      <c r="N11" s="425"/>
    </row>
    <row r="12" spans="1:14" x14ac:dyDescent="0.2">
      <c r="B12" s="426"/>
      <c r="C12" s="426"/>
      <c r="H12" s="424"/>
      <c r="I12" s="425"/>
      <c r="J12" s="425"/>
      <c r="K12" s="425"/>
      <c r="L12" s="425"/>
      <c r="M12" s="425"/>
      <c r="N12" s="425"/>
    </row>
    <row r="13" spans="1:14" x14ac:dyDescent="0.2">
      <c r="B13" s="426" t="s">
        <v>273</v>
      </c>
      <c r="C13" s="426"/>
      <c r="H13" s="424"/>
      <c r="I13" s="425"/>
      <c r="J13" s="425"/>
      <c r="K13" s="425"/>
      <c r="L13" s="425"/>
      <c r="M13" s="425"/>
      <c r="N13" s="425"/>
    </row>
    <row r="14" spans="1:14" x14ac:dyDescent="0.2">
      <c r="B14" s="426"/>
      <c r="C14" s="426"/>
      <c r="H14" s="424"/>
      <c r="I14" s="425"/>
      <c r="J14" s="425"/>
      <c r="K14" s="425"/>
      <c r="L14" s="425"/>
      <c r="M14" s="425"/>
      <c r="N14" s="425"/>
    </row>
    <row r="15" spans="1:14" x14ac:dyDescent="0.2">
      <c r="H15" s="424"/>
      <c r="I15" s="425"/>
      <c r="J15" s="425"/>
      <c r="K15" s="425"/>
      <c r="L15" s="425"/>
      <c r="M15" s="425"/>
      <c r="N15" s="425"/>
    </row>
    <row r="16" spans="1:14" x14ac:dyDescent="0.2">
      <c r="A16" s="429">
        <v>2</v>
      </c>
      <c r="B16" s="426" t="s">
        <v>1315</v>
      </c>
      <c r="C16" s="426"/>
      <c r="D16" s="427">
        <v>141840</v>
      </c>
      <c r="E16" s="424"/>
      <c r="F16" s="424"/>
      <c r="G16" s="424"/>
      <c r="H16" s="424"/>
      <c r="I16" s="425"/>
      <c r="J16" s="425"/>
      <c r="K16" s="425"/>
      <c r="L16" s="425"/>
      <c r="M16" s="425"/>
      <c r="N16" s="425"/>
    </row>
    <row r="17" spans="1:14" x14ac:dyDescent="0.2">
      <c r="C17" s="426" t="s">
        <v>1003</v>
      </c>
      <c r="D17" s="424"/>
      <c r="E17" s="427">
        <v>141840</v>
      </c>
      <c r="F17" s="424"/>
      <c r="G17" s="424"/>
      <c r="H17" s="424"/>
      <c r="I17" s="425"/>
      <c r="J17" s="425"/>
      <c r="K17" s="425"/>
      <c r="L17" s="425"/>
      <c r="M17" s="425"/>
      <c r="N17" s="425"/>
    </row>
    <row r="18" spans="1:14" x14ac:dyDescent="0.2">
      <c r="H18" s="424"/>
      <c r="I18" s="425"/>
      <c r="J18" s="425"/>
      <c r="K18" s="425"/>
      <c r="L18" s="425"/>
      <c r="M18" s="425"/>
      <c r="N18" s="425"/>
    </row>
    <row r="19" spans="1:14" x14ac:dyDescent="0.2">
      <c r="B19" s="426" t="s">
        <v>1316</v>
      </c>
      <c r="C19" s="426"/>
      <c r="H19" s="424"/>
      <c r="I19" s="425"/>
      <c r="J19" s="425"/>
      <c r="K19" s="425"/>
      <c r="L19" s="425"/>
      <c r="M19" s="425"/>
      <c r="N19" s="425"/>
    </row>
    <row r="20" spans="1:14" x14ac:dyDescent="0.2">
      <c r="H20" s="424"/>
      <c r="I20" s="425"/>
      <c r="J20" s="425"/>
      <c r="K20" s="425"/>
      <c r="L20" s="425"/>
      <c r="M20" s="425"/>
      <c r="N20" s="425"/>
    </row>
    <row r="21" spans="1:14" x14ac:dyDescent="0.2">
      <c r="D21" s="424"/>
      <c r="E21" s="424"/>
      <c r="F21" s="424"/>
      <c r="G21" s="424"/>
      <c r="H21" s="424"/>
      <c r="I21" s="425"/>
      <c r="J21" s="425"/>
      <c r="K21" s="425"/>
      <c r="L21" s="425"/>
      <c r="M21" s="425"/>
      <c r="N21" s="425"/>
    </row>
    <row r="22" spans="1:14" x14ac:dyDescent="0.2">
      <c r="A22" s="429">
        <v>3</v>
      </c>
      <c r="B22" s="418" t="s">
        <v>640</v>
      </c>
      <c r="D22" s="427">
        <f>E24+E25</f>
        <v>450000</v>
      </c>
      <c r="E22" s="424"/>
      <c r="F22" s="424"/>
      <c r="G22" s="424"/>
      <c r="H22" s="424"/>
      <c r="I22" s="425"/>
      <c r="J22" s="425"/>
      <c r="K22" s="425"/>
      <c r="L22" s="425"/>
      <c r="M22" s="425"/>
      <c r="N22" s="425"/>
    </row>
    <row r="23" spans="1:14" x14ac:dyDescent="0.2">
      <c r="A23" s="429"/>
      <c r="C23" s="418" t="s">
        <v>641</v>
      </c>
      <c r="D23" s="424"/>
      <c r="E23" s="424"/>
      <c r="F23" s="424"/>
      <c r="G23" s="424"/>
      <c r="H23" s="424"/>
      <c r="I23" s="425"/>
      <c r="J23" s="425"/>
      <c r="K23" s="425"/>
      <c r="L23" s="425"/>
      <c r="M23" s="425"/>
      <c r="N23" s="425"/>
    </row>
    <row r="24" spans="1:14" x14ac:dyDescent="0.2">
      <c r="A24" s="429"/>
      <c r="C24" s="418" t="s">
        <v>1317</v>
      </c>
      <c r="D24" s="424"/>
      <c r="E24" s="427">
        <f>(300000+0+0+0)</f>
        <v>300000</v>
      </c>
      <c r="F24" s="424"/>
      <c r="G24" s="424"/>
      <c r="H24" s="424"/>
      <c r="I24" s="425"/>
      <c r="J24" s="425"/>
      <c r="K24" s="425"/>
      <c r="L24" s="425"/>
      <c r="M24" s="425"/>
      <c r="N24" s="425"/>
    </row>
    <row r="25" spans="1:14" x14ac:dyDescent="0.2">
      <c r="A25" s="429"/>
      <c r="C25" s="418" t="s">
        <v>642</v>
      </c>
      <c r="D25" s="424"/>
      <c r="E25" s="427">
        <f>(150000+0+0+0)</f>
        <v>150000</v>
      </c>
      <c r="F25" s="424"/>
      <c r="G25" s="424"/>
      <c r="H25" s="424"/>
      <c r="I25" s="425"/>
      <c r="J25" s="425"/>
      <c r="K25" s="425"/>
      <c r="L25" s="425"/>
      <c r="M25" s="425"/>
      <c r="N25" s="425"/>
    </row>
    <row r="26" spans="1:14" x14ac:dyDescent="0.2">
      <c r="A26" s="429"/>
      <c r="D26" s="424"/>
      <c r="E26" s="424"/>
      <c r="F26" s="424"/>
      <c r="G26" s="424"/>
      <c r="H26" s="424"/>
      <c r="I26" s="425"/>
      <c r="J26" s="425"/>
      <c r="K26" s="425"/>
      <c r="L26" s="425"/>
      <c r="M26" s="425"/>
      <c r="N26" s="425"/>
    </row>
    <row r="27" spans="1:14" x14ac:dyDescent="0.2">
      <c r="A27" s="429"/>
      <c r="B27" s="418" t="s">
        <v>643</v>
      </c>
      <c r="D27" s="424"/>
      <c r="E27" s="424"/>
      <c r="F27" s="424"/>
      <c r="G27" s="424"/>
      <c r="H27" s="424"/>
      <c r="I27" s="425"/>
      <c r="J27" s="425"/>
      <c r="K27" s="425"/>
      <c r="L27" s="425"/>
      <c r="M27" s="425"/>
      <c r="N27" s="425"/>
    </row>
    <row r="28" spans="1:14" x14ac:dyDescent="0.2">
      <c r="A28" s="429"/>
      <c r="D28" s="424"/>
      <c r="E28" s="424"/>
      <c r="F28" s="424"/>
      <c r="G28" s="424"/>
      <c r="H28" s="424"/>
      <c r="I28" s="425"/>
      <c r="J28" s="425"/>
      <c r="K28" s="425"/>
      <c r="L28" s="425"/>
      <c r="M28" s="425"/>
      <c r="N28" s="425"/>
    </row>
    <row r="29" spans="1:14" x14ac:dyDescent="0.2">
      <c r="A29" s="429">
        <v>4</v>
      </c>
      <c r="B29" s="418" t="s">
        <v>644</v>
      </c>
      <c r="D29" s="427">
        <v>360000</v>
      </c>
      <c r="E29" s="424"/>
      <c r="F29" s="424"/>
      <c r="G29" s="424"/>
      <c r="H29" s="424"/>
      <c r="I29" s="425"/>
      <c r="J29" s="425"/>
      <c r="K29" s="425"/>
      <c r="L29" s="425"/>
      <c r="M29" s="425"/>
      <c r="N29" s="425"/>
    </row>
    <row r="30" spans="1:14" x14ac:dyDescent="0.2">
      <c r="C30" s="418" t="s">
        <v>645</v>
      </c>
      <c r="D30" s="424"/>
      <c r="E30" s="424"/>
      <c r="F30" s="424"/>
      <c r="G30" s="424"/>
      <c r="H30" s="424"/>
      <c r="I30" s="425"/>
      <c r="J30" s="425"/>
      <c r="K30" s="425"/>
      <c r="L30" s="425"/>
      <c r="M30" s="425"/>
      <c r="N30" s="425"/>
    </row>
    <row r="31" spans="1:14" x14ac:dyDescent="0.2">
      <c r="C31" s="418" t="s">
        <v>683</v>
      </c>
      <c r="D31" s="424"/>
      <c r="E31" s="427">
        <f>D29</f>
        <v>360000</v>
      </c>
      <c r="F31" s="424"/>
      <c r="G31" s="424"/>
      <c r="H31" s="424"/>
      <c r="I31" s="425"/>
      <c r="J31" s="425"/>
      <c r="K31" s="425"/>
      <c r="L31" s="425"/>
      <c r="M31" s="425"/>
      <c r="N31" s="425"/>
    </row>
    <row r="32" spans="1:14" x14ac:dyDescent="0.2">
      <c r="D32" s="424"/>
      <c r="E32" s="424"/>
      <c r="F32" s="424"/>
      <c r="G32" s="424"/>
      <c r="H32" s="424"/>
      <c r="I32" s="425"/>
      <c r="J32" s="425"/>
      <c r="K32" s="425"/>
      <c r="L32" s="425"/>
      <c r="M32" s="425"/>
      <c r="N32" s="425"/>
    </row>
    <row r="33" spans="1:14" x14ac:dyDescent="0.2">
      <c r="B33" s="418" t="s">
        <v>646</v>
      </c>
      <c r="D33" s="424"/>
      <c r="E33" s="424"/>
      <c r="F33" s="424"/>
      <c r="G33" s="424"/>
      <c r="H33" s="424"/>
      <c r="I33" s="425"/>
      <c r="J33" s="425"/>
      <c r="K33" s="425"/>
      <c r="L33" s="425"/>
      <c r="M33" s="425"/>
      <c r="N33" s="425"/>
    </row>
    <row r="34" spans="1:14" x14ac:dyDescent="0.2">
      <c r="D34" s="424"/>
      <c r="E34" s="424"/>
      <c r="F34" s="424"/>
      <c r="H34" s="424"/>
      <c r="I34" s="425"/>
      <c r="J34" s="425"/>
      <c r="K34" s="425"/>
      <c r="L34" s="425"/>
      <c r="M34" s="425"/>
      <c r="N34" s="425"/>
    </row>
    <row r="35" spans="1:14" x14ac:dyDescent="0.2">
      <c r="D35" s="424"/>
      <c r="E35" s="424"/>
      <c r="F35" s="424"/>
      <c r="H35" s="424"/>
      <c r="I35" s="425"/>
      <c r="J35" s="425"/>
      <c r="K35" s="425"/>
      <c r="L35" s="425"/>
      <c r="M35" s="425"/>
      <c r="N35" s="425"/>
    </row>
    <row r="36" spans="1:14" x14ac:dyDescent="0.2">
      <c r="A36" s="418">
        <v>5</v>
      </c>
      <c r="B36" s="430" t="s">
        <v>1148</v>
      </c>
      <c r="C36" s="430"/>
      <c r="D36" s="424"/>
      <c r="E36" s="424"/>
      <c r="F36" s="427">
        <v>2472160</v>
      </c>
      <c r="G36" s="428"/>
      <c r="H36" s="424"/>
      <c r="I36" s="425"/>
      <c r="J36" s="425"/>
      <c r="K36" s="425"/>
      <c r="L36" s="425"/>
      <c r="M36" s="425"/>
      <c r="N36" s="425"/>
    </row>
    <row r="37" spans="1:14" x14ac:dyDescent="0.2">
      <c r="B37" s="430"/>
      <c r="C37" s="430" t="s">
        <v>620</v>
      </c>
      <c r="D37" s="424"/>
      <c r="E37" s="424"/>
      <c r="F37" s="428"/>
      <c r="G37" s="427">
        <v>2472160</v>
      </c>
      <c r="H37" s="424"/>
      <c r="I37" s="425"/>
      <c r="J37" s="425"/>
      <c r="K37" s="425"/>
      <c r="L37" s="425"/>
      <c r="M37" s="425"/>
      <c r="N37" s="425"/>
    </row>
    <row r="38" spans="1:14" x14ac:dyDescent="0.2">
      <c r="D38" s="424"/>
      <c r="E38" s="424"/>
      <c r="F38" s="424"/>
      <c r="H38" s="424"/>
      <c r="I38" s="425"/>
      <c r="J38" s="425"/>
      <c r="K38" s="425"/>
      <c r="L38" s="425"/>
      <c r="M38" s="425"/>
      <c r="N38" s="425"/>
    </row>
    <row r="39" spans="1:14" x14ac:dyDescent="0.2">
      <c r="B39" s="430" t="s">
        <v>1318</v>
      </c>
      <c r="D39" s="424"/>
      <c r="E39" s="424"/>
      <c r="F39" s="424"/>
      <c r="H39" s="424"/>
      <c r="I39" s="425"/>
      <c r="J39" s="425"/>
      <c r="K39" s="425"/>
      <c r="L39" s="425"/>
      <c r="M39" s="425"/>
      <c r="N39" s="425"/>
    </row>
    <row r="40" spans="1:14" x14ac:dyDescent="0.2">
      <c r="B40" s="430"/>
      <c r="D40" s="424"/>
      <c r="E40" s="424"/>
      <c r="F40" s="424"/>
      <c r="H40" s="424"/>
      <c r="I40" s="425"/>
      <c r="J40" s="425"/>
      <c r="K40" s="425"/>
      <c r="L40" s="425"/>
      <c r="M40" s="425"/>
      <c r="N40" s="425"/>
    </row>
    <row r="41" spans="1:14" x14ac:dyDescent="0.2">
      <c r="D41" s="424"/>
      <c r="E41" s="424"/>
      <c r="F41" s="424"/>
      <c r="H41" s="424"/>
      <c r="I41" s="425"/>
      <c r="J41" s="425"/>
      <c r="K41" s="425"/>
      <c r="L41" s="425"/>
      <c r="M41" s="425"/>
      <c r="N41" s="425"/>
    </row>
    <row r="42" spans="1:14" x14ac:dyDescent="0.2">
      <c r="A42" s="429">
        <v>6</v>
      </c>
      <c r="B42" s="418" t="s">
        <v>1319</v>
      </c>
      <c r="D42" s="427">
        <v>111700</v>
      </c>
      <c r="E42" s="428"/>
      <c r="F42" s="424"/>
      <c r="H42" s="424"/>
      <c r="I42" s="425"/>
      <c r="J42" s="425"/>
      <c r="K42" s="425"/>
      <c r="L42" s="425"/>
      <c r="M42" s="425"/>
      <c r="N42" s="425"/>
    </row>
    <row r="43" spans="1:14" x14ac:dyDescent="0.2">
      <c r="B43" s="418" t="s">
        <v>1320</v>
      </c>
      <c r="D43" s="427">
        <v>47871</v>
      </c>
      <c r="E43" s="428"/>
      <c r="F43" s="424"/>
      <c r="H43" s="424"/>
      <c r="I43" s="425"/>
      <c r="J43" s="425"/>
      <c r="K43" s="425"/>
      <c r="L43" s="425"/>
      <c r="M43" s="425"/>
      <c r="N43" s="425"/>
    </row>
    <row r="44" spans="1:14" x14ac:dyDescent="0.2">
      <c r="C44" s="418" t="s">
        <v>1321</v>
      </c>
      <c r="D44" s="428"/>
      <c r="E44" s="427">
        <f>SUM(D42:D43)</f>
        <v>159571</v>
      </c>
      <c r="F44" s="424"/>
      <c r="H44" s="424"/>
      <c r="I44" s="425"/>
      <c r="J44" s="425"/>
      <c r="K44" s="425"/>
      <c r="L44" s="425"/>
      <c r="M44" s="425"/>
      <c r="N44" s="425"/>
    </row>
    <row r="45" spans="1:14" x14ac:dyDescent="0.2">
      <c r="D45" s="431"/>
      <c r="E45" s="431"/>
      <c r="H45" s="424"/>
      <c r="I45" s="425"/>
      <c r="J45" s="425"/>
      <c r="K45" s="425"/>
      <c r="L45" s="425"/>
      <c r="M45" s="425"/>
      <c r="N45" s="425"/>
    </row>
    <row r="46" spans="1:14" x14ac:dyDescent="0.2">
      <c r="B46" s="418" t="s">
        <v>1322</v>
      </c>
      <c r="D46" s="427">
        <v>47871</v>
      </c>
      <c r="E46" s="428"/>
      <c r="F46" s="424"/>
      <c r="H46" s="424"/>
      <c r="I46" s="425"/>
      <c r="J46" s="425"/>
      <c r="K46" s="425"/>
      <c r="L46" s="425"/>
      <c r="M46" s="425"/>
      <c r="N46" s="425"/>
    </row>
    <row r="47" spans="1:14" x14ac:dyDescent="0.2">
      <c r="C47" s="418" t="s">
        <v>349</v>
      </c>
      <c r="D47" s="428"/>
      <c r="E47" s="427">
        <v>47871</v>
      </c>
      <c r="F47" s="424"/>
      <c r="H47" s="424"/>
      <c r="I47" s="425"/>
      <c r="J47" s="425"/>
      <c r="K47" s="425"/>
      <c r="L47" s="425"/>
      <c r="M47" s="425"/>
      <c r="N47" s="425"/>
    </row>
    <row r="48" spans="1:14" x14ac:dyDescent="0.2">
      <c r="H48" s="424"/>
      <c r="I48" s="425"/>
      <c r="J48" s="425"/>
      <c r="K48" s="425"/>
      <c r="L48" s="425"/>
      <c r="M48" s="425"/>
      <c r="N48" s="425"/>
    </row>
    <row r="49" spans="1:14" x14ac:dyDescent="0.2">
      <c r="D49" s="424"/>
      <c r="E49" s="424"/>
      <c r="F49" s="424"/>
      <c r="H49" s="424"/>
      <c r="I49" s="425"/>
      <c r="J49" s="425"/>
      <c r="K49" s="425"/>
      <c r="L49" s="425"/>
      <c r="M49" s="425"/>
      <c r="N49" s="425"/>
    </row>
    <row r="50" spans="1:14" x14ac:dyDescent="0.2">
      <c r="B50" s="418" t="s">
        <v>795</v>
      </c>
      <c r="D50" s="424"/>
      <c r="E50" s="424"/>
      <c r="F50" s="424"/>
      <c r="H50" s="424"/>
      <c r="I50" s="425"/>
      <c r="J50" s="425"/>
      <c r="K50" s="425"/>
      <c r="L50" s="425"/>
      <c r="M50" s="425"/>
      <c r="N50" s="425"/>
    </row>
    <row r="51" spans="1:14" x14ac:dyDescent="0.2">
      <c r="H51" s="424"/>
      <c r="I51" s="425"/>
      <c r="J51" s="425"/>
      <c r="K51" s="425"/>
      <c r="L51" s="425"/>
      <c r="M51" s="425"/>
      <c r="N51" s="425"/>
    </row>
    <row r="52" spans="1:14" x14ac:dyDescent="0.2">
      <c r="H52" s="424"/>
      <c r="I52" s="425"/>
      <c r="J52" s="425"/>
      <c r="K52" s="425"/>
      <c r="L52" s="425"/>
      <c r="M52" s="425"/>
      <c r="N52" s="425"/>
    </row>
    <row r="53" spans="1:14" x14ac:dyDescent="0.2">
      <c r="A53" s="418">
        <v>7</v>
      </c>
      <c r="B53" s="418" t="s">
        <v>1196</v>
      </c>
      <c r="D53" s="419">
        <v>90387</v>
      </c>
      <c r="H53" s="424"/>
      <c r="I53" s="425"/>
      <c r="J53" s="425"/>
      <c r="K53" s="425"/>
      <c r="L53" s="425"/>
      <c r="M53" s="425"/>
      <c r="N53" s="425"/>
    </row>
    <row r="54" spans="1:14" x14ac:dyDescent="0.2">
      <c r="C54" s="418" t="s">
        <v>1195</v>
      </c>
      <c r="G54" s="419">
        <v>90387</v>
      </c>
      <c r="H54" s="424"/>
      <c r="I54" s="425"/>
      <c r="J54" s="425"/>
      <c r="K54" s="425"/>
      <c r="L54" s="425"/>
      <c r="M54" s="425"/>
      <c r="N54" s="425"/>
    </row>
    <row r="55" spans="1:14" x14ac:dyDescent="0.2">
      <c r="C55" s="418" t="s">
        <v>1194</v>
      </c>
      <c r="E55" s="419">
        <v>19654</v>
      </c>
      <c r="H55" s="424"/>
      <c r="I55" s="425"/>
      <c r="J55" s="425"/>
      <c r="K55" s="425"/>
      <c r="L55" s="425"/>
      <c r="M55" s="425"/>
      <c r="N55" s="425"/>
    </row>
    <row r="56" spans="1:14" x14ac:dyDescent="0.2">
      <c r="B56" s="418" t="s">
        <v>1191</v>
      </c>
      <c r="F56" s="419">
        <v>19654</v>
      </c>
      <c r="H56" s="424"/>
      <c r="I56" s="425"/>
      <c r="J56" s="425"/>
      <c r="K56" s="425"/>
      <c r="L56" s="425"/>
      <c r="M56" s="425"/>
      <c r="N56" s="425"/>
    </row>
    <row r="57" spans="1:14" x14ac:dyDescent="0.2">
      <c r="H57" s="424"/>
      <c r="I57" s="425"/>
      <c r="J57" s="425"/>
      <c r="K57" s="425"/>
      <c r="L57" s="425"/>
      <c r="M57" s="425"/>
      <c r="N57" s="425"/>
    </row>
    <row r="58" spans="1:14" x14ac:dyDescent="0.2">
      <c r="B58" s="418" t="s">
        <v>1332</v>
      </c>
      <c r="H58" s="424"/>
      <c r="I58" s="425"/>
      <c r="J58" s="425"/>
      <c r="K58" s="425"/>
      <c r="L58" s="425"/>
      <c r="M58" s="425"/>
      <c r="N58" s="425"/>
    </row>
    <row r="59" spans="1:14" x14ac:dyDescent="0.2">
      <c r="B59" s="418" t="s">
        <v>1201</v>
      </c>
      <c r="H59" s="424"/>
      <c r="I59" s="425"/>
      <c r="J59" s="425"/>
      <c r="K59" s="425"/>
      <c r="L59" s="425"/>
      <c r="M59" s="425"/>
      <c r="N59" s="425"/>
    </row>
    <row r="60" spans="1:14" x14ac:dyDescent="0.2">
      <c r="H60" s="424"/>
      <c r="I60" s="425"/>
      <c r="J60" s="425"/>
      <c r="K60" s="425"/>
      <c r="L60" s="425"/>
      <c r="M60" s="425"/>
      <c r="N60" s="425"/>
    </row>
    <row r="61" spans="1:14" x14ac:dyDescent="0.2">
      <c r="H61" s="424"/>
      <c r="I61" s="425"/>
      <c r="J61" s="425"/>
      <c r="K61" s="425"/>
      <c r="L61" s="425"/>
      <c r="M61" s="425"/>
      <c r="N61" s="425"/>
    </row>
    <row r="62" spans="1:14" x14ac:dyDescent="0.2">
      <c r="H62" s="424"/>
      <c r="I62" s="425"/>
      <c r="J62" s="425"/>
      <c r="K62" s="425"/>
      <c r="L62" s="425"/>
      <c r="M62" s="425"/>
      <c r="N62" s="425"/>
    </row>
    <row r="63" spans="1:14" x14ac:dyDescent="0.2">
      <c r="H63" s="424"/>
      <c r="I63" s="425"/>
      <c r="J63" s="425"/>
      <c r="K63" s="425"/>
      <c r="L63" s="425"/>
      <c r="M63" s="425"/>
      <c r="N63" s="425"/>
    </row>
    <row r="64" spans="1:14" x14ac:dyDescent="0.2">
      <c r="H64" s="424"/>
      <c r="I64" s="425"/>
      <c r="J64" s="425"/>
      <c r="K64" s="425"/>
      <c r="L64" s="425"/>
      <c r="M64" s="425"/>
      <c r="N64" s="425"/>
    </row>
    <row r="65" spans="8:14" x14ac:dyDescent="0.2">
      <c r="H65" s="424"/>
      <c r="I65" s="425"/>
      <c r="J65" s="425"/>
      <c r="K65" s="425"/>
      <c r="L65" s="425"/>
      <c r="M65" s="425"/>
      <c r="N65" s="425"/>
    </row>
    <row r="66" spans="8:14" x14ac:dyDescent="0.2">
      <c r="H66" s="424"/>
      <c r="I66" s="425"/>
      <c r="J66" s="425"/>
      <c r="K66" s="425"/>
      <c r="L66" s="425"/>
      <c r="M66" s="425"/>
      <c r="N66" s="425"/>
    </row>
    <row r="67" spans="8:14" x14ac:dyDescent="0.2">
      <c r="H67" s="424"/>
      <c r="I67" s="425"/>
      <c r="J67" s="425"/>
      <c r="K67" s="425"/>
      <c r="L67" s="425"/>
      <c r="M67" s="425"/>
      <c r="N67" s="425"/>
    </row>
    <row r="68" spans="8:14" x14ac:dyDescent="0.2">
      <c r="H68" s="424"/>
      <c r="I68" s="425"/>
      <c r="J68" s="425"/>
      <c r="K68" s="425"/>
      <c r="L68" s="425"/>
      <c r="M68" s="425"/>
      <c r="N68" s="425"/>
    </row>
    <row r="69" spans="8:14" x14ac:dyDescent="0.2">
      <c r="H69" s="424"/>
      <c r="I69" s="425"/>
      <c r="J69" s="425"/>
      <c r="K69" s="425"/>
      <c r="L69" s="425"/>
      <c r="M69" s="425"/>
      <c r="N69" s="425"/>
    </row>
    <row r="70" spans="8:14" x14ac:dyDescent="0.2">
      <c r="H70" s="424"/>
      <c r="I70" s="425"/>
      <c r="J70" s="425"/>
      <c r="K70" s="425"/>
      <c r="L70" s="425"/>
      <c r="M70" s="425"/>
      <c r="N70" s="425"/>
    </row>
    <row r="71" spans="8:14" x14ac:dyDescent="0.2">
      <c r="H71" s="424"/>
      <c r="I71" s="425"/>
      <c r="J71" s="425"/>
      <c r="K71" s="425"/>
      <c r="L71" s="425"/>
      <c r="M71" s="425"/>
      <c r="N71" s="425"/>
    </row>
    <row r="72" spans="8:14" x14ac:dyDescent="0.2">
      <c r="H72" s="424"/>
      <c r="I72" s="425"/>
      <c r="J72" s="425"/>
      <c r="K72" s="425"/>
      <c r="L72" s="425"/>
      <c r="M72" s="425"/>
      <c r="N72" s="425"/>
    </row>
    <row r="73" spans="8:14" x14ac:dyDescent="0.2">
      <c r="H73" s="424"/>
      <c r="I73" s="425"/>
      <c r="J73" s="425"/>
      <c r="K73" s="425"/>
      <c r="L73" s="425"/>
      <c r="M73" s="425"/>
      <c r="N73" s="425"/>
    </row>
    <row r="74" spans="8:14" x14ac:dyDescent="0.2">
      <c r="H74" s="424"/>
      <c r="I74" s="425"/>
      <c r="J74" s="425"/>
      <c r="K74" s="425"/>
      <c r="L74" s="425"/>
      <c r="M74" s="425"/>
      <c r="N74" s="425"/>
    </row>
    <row r="75" spans="8:14" x14ac:dyDescent="0.2">
      <c r="H75" s="424"/>
      <c r="I75" s="425"/>
      <c r="J75" s="425"/>
      <c r="K75" s="425"/>
      <c r="L75" s="425"/>
      <c r="M75" s="425"/>
      <c r="N75" s="425"/>
    </row>
    <row r="76" spans="8:14" x14ac:dyDescent="0.2">
      <c r="H76" s="424"/>
      <c r="I76" s="425"/>
      <c r="J76" s="425"/>
      <c r="K76" s="425"/>
      <c r="L76" s="425"/>
      <c r="M76" s="425"/>
      <c r="N76" s="425"/>
    </row>
    <row r="77" spans="8:14" x14ac:dyDescent="0.2">
      <c r="H77" s="424"/>
      <c r="I77" s="425"/>
      <c r="J77" s="425"/>
      <c r="K77" s="425"/>
      <c r="L77" s="425"/>
      <c r="M77" s="425"/>
      <c r="N77" s="425"/>
    </row>
    <row r="78" spans="8:14" x14ac:dyDescent="0.2">
      <c r="H78" s="424"/>
      <c r="I78" s="425"/>
      <c r="J78" s="425"/>
      <c r="K78" s="425"/>
      <c r="L78" s="425"/>
      <c r="M78" s="425"/>
      <c r="N78" s="425"/>
    </row>
    <row r="79" spans="8:14" x14ac:dyDescent="0.2">
      <c r="H79" s="424"/>
      <c r="I79" s="425"/>
      <c r="J79" s="425"/>
      <c r="K79" s="425"/>
      <c r="L79" s="425"/>
      <c r="M79" s="425"/>
      <c r="N79" s="425"/>
    </row>
    <row r="80" spans="8:14" x14ac:dyDescent="0.2">
      <c r="H80" s="424"/>
      <c r="I80" s="425"/>
      <c r="J80" s="425"/>
      <c r="K80" s="425"/>
      <c r="L80" s="425"/>
      <c r="M80" s="425"/>
      <c r="N80" s="425"/>
    </row>
    <row r="81" spans="8:14" x14ac:dyDescent="0.2">
      <c r="H81" s="424"/>
      <c r="I81" s="425"/>
      <c r="J81" s="425"/>
      <c r="K81" s="425"/>
      <c r="L81" s="425"/>
      <c r="M81" s="425"/>
      <c r="N81" s="425"/>
    </row>
    <row r="82" spans="8:14" x14ac:dyDescent="0.2">
      <c r="H82" s="424"/>
      <c r="I82" s="425"/>
      <c r="J82" s="425"/>
      <c r="K82" s="425"/>
      <c r="L82" s="425"/>
      <c r="M82" s="425"/>
      <c r="N82" s="425"/>
    </row>
    <row r="83" spans="8:14" x14ac:dyDescent="0.2">
      <c r="H83" s="424"/>
      <c r="I83" s="425"/>
      <c r="J83" s="425"/>
      <c r="K83" s="425"/>
      <c r="L83" s="425"/>
      <c r="M83" s="425"/>
      <c r="N83" s="425"/>
    </row>
    <row r="84" spans="8:14" x14ac:dyDescent="0.2">
      <c r="H84" s="424"/>
      <c r="I84" s="425"/>
      <c r="J84" s="425"/>
      <c r="K84" s="425"/>
      <c r="L84" s="425"/>
      <c r="M84" s="425"/>
      <c r="N84" s="425"/>
    </row>
    <row r="85" spans="8:14" x14ac:dyDescent="0.2">
      <c r="H85" s="424"/>
      <c r="I85" s="425"/>
      <c r="J85" s="425"/>
      <c r="K85" s="425"/>
      <c r="L85" s="425"/>
      <c r="M85" s="425"/>
      <c r="N85" s="425"/>
    </row>
    <row r="86" spans="8:14" x14ac:dyDescent="0.2">
      <c r="H86" s="424"/>
      <c r="I86" s="425"/>
      <c r="J86" s="425"/>
      <c r="K86" s="425"/>
      <c r="L86" s="425"/>
      <c r="M86" s="425"/>
      <c r="N86" s="425"/>
    </row>
    <row r="87" spans="8:14" x14ac:dyDescent="0.2">
      <c r="H87" s="424"/>
      <c r="I87" s="425"/>
      <c r="J87" s="425"/>
      <c r="K87" s="425"/>
      <c r="L87" s="425"/>
      <c r="M87" s="425"/>
      <c r="N87" s="425"/>
    </row>
    <row r="88" spans="8:14" x14ac:dyDescent="0.2">
      <c r="H88" s="424"/>
      <c r="I88" s="425"/>
      <c r="J88" s="425"/>
      <c r="K88" s="425"/>
      <c r="L88" s="425"/>
      <c r="M88" s="425"/>
      <c r="N88" s="425"/>
    </row>
    <row r="89" spans="8:14" x14ac:dyDescent="0.2">
      <c r="H89" s="424"/>
      <c r="I89" s="425"/>
      <c r="J89" s="425"/>
      <c r="K89" s="425"/>
      <c r="L89" s="425"/>
      <c r="M89" s="425"/>
      <c r="N89" s="425"/>
    </row>
    <row r="90" spans="8:14" x14ac:dyDescent="0.2">
      <c r="H90" s="424"/>
      <c r="I90" s="425"/>
      <c r="J90" s="425"/>
      <c r="K90" s="425"/>
      <c r="L90" s="425"/>
      <c r="M90" s="425"/>
      <c r="N90" s="425"/>
    </row>
    <row r="91" spans="8:14" x14ac:dyDescent="0.2">
      <c r="H91" s="424"/>
      <c r="I91" s="425"/>
      <c r="J91" s="425"/>
      <c r="K91" s="425"/>
      <c r="L91" s="425"/>
      <c r="M91" s="425"/>
      <c r="N91" s="425"/>
    </row>
    <row r="92" spans="8:14" x14ac:dyDescent="0.2">
      <c r="H92" s="424"/>
      <c r="I92" s="425"/>
      <c r="J92" s="425"/>
      <c r="K92" s="425"/>
      <c r="L92" s="425"/>
      <c r="M92" s="425"/>
      <c r="N92" s="425"/>
    </row>
    <row r="93" spans="8:14" x14ac:dyDescent="0.2">
      <c r="H93" s="424"/>
      <c r="I93" s="425"/>
      <c r="J93" s="425"/>
      <c r="K93" s="425"/>
      <c r="L93" s="425"/>
      <c r="M93" s="425"/>
      <c r="N93" s="425"/>
    </row>
    <row r="94" spans="8:14" x14ac:dyDescent="0.2">
      <c r="H94" s="424"/>
      <c r="I94" s="425"/>
      <c r="J94" s="425"/>
      <c r="K94" s="425"/>
      <c r="L94" s="425"/>
      <c r="M94" s="425"/>
      <c r="N94" s="425"/>
    </row>
    <row r="95" spans="8:14" x14ac:dyDescent="0.2">
      <c r="H95" s="424"/>
      <c r="I95" s="425"/>
      <c r="J95" s="425"/>
      <c r="K95" s="425"/>
      <c r="L95" s="425"/>
      <c r="M95" s="425"/>
      <c r="N95" s="425"/>
    </row>
    <row r="96" spans="8:14" x14ac:dyDescent="0.2">
      <c r="H96" s="424"/>
      <c r="I96" s="425"/>
      <c r="J96" s="425"/>
      <c r="K96" s="425"/>
      <c r="L96" s="425"/>
      <c r="M96" s="425"/>
      <c r="N96" s="425"/>
    </row>
    <row r="97" spans="1:14" x14ac:dyDescent="0.2">
      <c r="H97" s="424"/>
      <c r="I97" s="425"/>
      <c r="J97" s="425"/>
      <c r="K97" s="425"/>
      <c r="L97" s="425"/>
      <c r="M97" s="425"/>
      <c r="N97" s="425"/>
    </row>
    <row r="98" spans="1:14" x14ac:dyDescent="0.2">
      <c r="H98" s="424"/>
      <c r="I98" s="425"/>
      <c r="J98" s="425"/>
      <c r="K98" s="425"/>
      <c r="L98" s="425"/>
      <c r="M98" s="425"/>
      <c r="N98" s="425"/>
    </row>
    <row r="99" spans="1:14" x14ac:dyDescent="0.2">
      <c r="H99" s="424"/>
      <c r="I99" s="425"/>
      <c r="J99" s="425"/>
      <c r="K99" s="425"/>
      <c r="L99" s="425"/>
      <c r="M99" s="425"/>
      <c r="N99" s="425"/>
    </row>
    <row r="100" spans="1:14" x14ac:dyDescent="0.2">
      <c r="H100" s="424"/>
      <c r="I100" s="425"/>
      <c r="J100" s="425"/>
      <c r="K100" s="425"/>
      <c r="L100" s="425"/>
      <c r="M100" s="425"/>
      <c r="N100" s="425"/>
    </row>
    <row r="101" spans="1:14" x14ac:dyDescent="0.2">
      <c r="A101" s="418">
        <v>1</v>
      </c>
      <c r="B101" s="426" t="s">
        <v>272</v>
      </c>
      <c r="C101" s="426"/>
      <c r="D101" s="424"/>
      <c r="E101" s="424"/>
      <c r="F101" s="424">
        <v>0</v>
      </c>
      <c r="G101" s="424"/>
      <c r="H101" s="424"/>
      <c r="I101" s="425"/>
      <c r="J101" s="425"/>
      <c r="K101" s="425"/>
      <c r="L101" s="425"/>
      <c r="M101" s="425"/>
      <c r="N101" s="425"/>
    </row>
    <row r="102" spans="1:14" x14ac:dyDescent="0.2">
      <c r="B102" s="426"/>
      <c r="C102" s="426" t="s">
        <v>32</v>
      </c>
      <c r="D102" s="424"/>
      <c r="E102" s="424"/>
      <c r="F102" s="424"/>
      <c r="G102" s="424">
        <v>0</v>
      </c>
      <c r="H102" s="424"/>
      <c r="I102" s="425"/>
      <c r="J102" s="425"/>
      <c r="K102" s="425"/>
      <c r="L102" s="425"/>
      <c r="M102" s="425"/>
      <c r="N102" s="425"/>
    </row>
    <row r="103" spans="1:14" x14ac:dyDescent="0.2">
      <c r="B103" s="426"/>
      <c r="C103" s="426"/>
      <c r="H103" s="424"/>
      <c r="I103" s="425"/>
      <c r="J103" s="425"/>
      <c r="K103" s="425"/>
      <c r="L103" s="425"/>
      <c r="M103" s="425"/>
      <c r="N103" s="425"/>
    </row>
    <row r="104" spans="1:14" x14ac:dyDescent="0.2">
      <c r="B104" s="426" t="s">
        <v>273</v>
      </c>
      <c r="C104" s="426"/>
      <c r="H104" s="424"/>
      <c r="I104" s="425"/>
      <c r="J104" s="425"/>
      <c r="K104" s="425"/>
      <c r="L104" s="425"/>
      <c r="M104" s="425"/>
      <c r="N104" s="425"/>
    </row>
    <row r="105" spans="1:14" x14ac:dyDescent="0.2">
      <c r="B105" s="426"/>
      <c r="C105" s="426"/>
      <c r="H105" s="424"/>
      <c r="I105" s="425"/>
      <c r="J105" s="425"/>
      <c r="K105" s="425"/>
      <c r="L105" s="425"/>
      <c r="M105" s="425"/>
      <c r="N105" s="425"/>
    </row>
    <row r="106" spans="1:14" x14ac:dyDescent="0.2">
      <c r="A106" s="432">
        <v>2</v>
      </c>
      <c r="B106" s="426" t="s">
        <v>265</v>
      </c>
      <c r="C106" s="426"/>
      <c r="D106" s="424"/>
      <c r="E106" s="424"/>
      <c r="F106" s="433">
        <v>95062813</v>
      </c>
      <c r="G106" s="424"/>
      <c r="H106" s="424" t="s">
        <v>412</v>
      </c>
      <c r="I106" s="425"/>
      <c r="J106" s="425"/>
      <c r="K106" s="425"/>
      <c r="L106" s="425"/>
      <c r="M106" s="425"/>
      <c r="N106" s="425"/>
    </row>
    <row r="107" spans="1:14" x14ac:dyDescent="0.2">
      <c r="B107" s="426" t="s">
        <v>279</v>
      </c>
      <c r="C107" s="426"/>
      <c r="D107" s="424"/>
      <c r="E107" s="424"/>
      <c r="F107" s="424"/>
      <c r="G107" s="433"/>
      <c r="H107" s="424"/>
      <c r="I107" s="425"/>
      <c r="J107" s="425"/>
      <c r="K107" s="425"/>
      <c r="L107" s="425"/>
      <c r="M107" s="425"/>
      <c r="N107" s="425"/>
    </row>
    <row r="108" spans="1:14" x14ac:dyDescent="0.2">
      <c r="B108" s="426" t="s">
        <v>12</v>
      </c>
      <c r="C108" s="426"/>
      <c r="D108" s="424"/>
      <c r="E108" s="424"/>
      <c r="F108" s="424"/>
      <c r="G108" s="424"/>
      <c r="H108" s="424"/>
      <c r="I108" s="425"/>
      <c r="J108" s="425"/>
      <c r="K108" s="425"/>
      <c r="L108" s="425"/>
      <c r="M108" s="425"/>
      <c r="N108" s="425"/>
    </row>
    <row r="109" spans="1:14" x14ac:dyDescent="0.2">
      <c r="B109" s="426"/>
      <c r="C109" s="426" t="s">
        <v>264</v>
      </c>
      <c r="D109" s="424"/>
      <c r="E109" s="424"/>
      <c r="F109" s="424"/>
      <c r="G109" s="433">
        <v>95062813</v>
      </c>
      <c r="H109" s="424" t="s">
        <v>412</v>
      </c>
      <c r="I109" s="425"/>
      <c r="J109" s="425"/>
      <c r="K109" s="425"/>
      <c r="L109" s="425"/>
      <c r="M109" s="425"/>
      <c r="N109" s="425"/>
    </row>
    <row r="110" spans="1:14" x14ac:dyDescent="0.2">
      <c r="B110" s="426"/>
      <c r="C110" s="426"/>
      <c r="D110" s="424"/>
      <c r="E110" s="424"/>
      <c r="F110" s="424"/>
      <c r="G110" s="424"/>
      <c r="H110" s="424"/>
      <c r="I110" s="425"/>
      <c r="J110" s="425"/>
      <c r="K110" s="425"/>
      <c r="L110" s="425"/>
      <c r="M110" s="425"/>
      <c r="N110" s="425"/>
    </row>
    <row r="111" spans="1:14" x14ac:dyDescent="0.2">
      <c r="B111" s="426" t="s">
        <v>266</v>
      </c>
      <c r="C111" s="426"/>
      <c r="D111" s="424"/>
      <c r="E111" s="424"/>
      <c r="F111" s="424"/>
      <c r="G111" s="424"/>
      <c r="H111" s="424"/>
      <c r="I111" s="425"/>
      <c r="J111" s="425"/>
      <c r="K111" s="425"/>
      <c r="L111" s="425"/>
      <c r="M111" s="425"/>
      <c r="N111" s="425"/>
    </row>
    <row r="112" spans="1:14" x14ac:dyDescent="0.2">
      <c r="H112" s="424"/>
      <c r="I112" s="425"/>
      <c r="J112" s="425"/>
      <c r="K112" s="425"/>
      <c r="L112" s="425"/>
      <c r="M112" s="425"/>
      <c r="N112" s="425"/>
    </row>
    <row r="113" spans="1:18" x14ac:dyDescent="0.2">
      <c r="A113" s="418">
        <v>3</v>
      </c>
      <c r="B113" s="419" t="s">
        <v>14</v>
      </c>
      <c r="C113" s="419"/>
      <c r="E113" s="424"/>
      <c r="F113" s="424"/>
      <c r="H113" s="424"/>
      <c r="I113" s="419"/>
      <c r="J113" s="425"/>
      <c r="K113" s="425"/>
      <c r="L113" s="425"/>
      <c r="M113" s="425"/>
      <c r="N113" s="425"/>
      <c r="O113" s="421"/>
      <c r="Q113" s="418"/>
      <c r="R113" s="418"/>
    </row>
    <row r="114" spans="1:18" x14ac:dyDescent="0.2">
      <c r="A114" s="434"/>
      <c r="B114" s="419" t="s">
        <v>350</v>
      </c>
      <c r="C114" s="419"/>
      <c r="E114" s="424"/>
      <c r="F114" s="424"/>
      <c r="H114" s="424"/>
      <c r="I114" s="419"/>
      <c r="J114" s="425"/>
      <c r="K114" s="425"/>
      <c r="L114" s="425"/>
      <c r="M114" s="425"/>
      <c r="N114" s="425"/>
      <c r="O114" s="421"/>
      <c r="Q114" s="418"/>
      <c r="R114" s="418"/>
    </row>
    <row r="115" spans="1:18" x14ac:dyDescent="0.2">
      <c r="B115" s="419"/>
      <c r="C115" s="419" t="s">
        <v>355</v>
      </c>
      <c r="D115" s="424"/>
      <c r="F115" s="424"/>
      <c r="G115" s="424"/>
      <c r="H115" s="424"/>
      <c r="I115" s="419"/>
      <c r="J115" s="425"/>
      <c r="K115" s="425"/>
      <c r="L115" s="425"/>
      <c r="M115" s="425"/>
      <c r="N115" s="425"/>
      <c r="O115" s="421"/>
      <c r="Q115" s="418"/>
      <c r="R115" s="418"/>
    </row>
    <row r="116" spans="1:18" x14ac:dyDescent="0.2">
      <c r="B116" s="419"/>
      <c r="C116" s="419" t="s">
        <v>356</v>
      </c>
      <c r="D116" s="424"/>
      <c r="F116" s="424"/>
      <c r="G116" s="424"/>
      <c r="H116" s="424"/>
      <c r="I116" s="419"/>
      <c r="J116" s="425"/>
      <c r="K116" s="424"/>
      <c r="L116" s="425"/>
      <c r="M116" s="425"/>
      <c r="N116" s="425"/>
      <c r="O116" s="421"/>
      <c r="Q116" s="418"/>
      <c r="R116" s="418"/>
    </row>
    <row r="117" spans="1:18" x14ac:dyDescent="0.2">
      <c r="B117" s="419"/>
      <c r="C117" s="419"/>
      <c r="F117" s="424"/>
      <c r="G117" s="424"/>
      <c r="H117" s="424"/>
      <c r="I117" s="425"/>
      <c r="J117" s="419"/>
      <c r="K117" s="425"/>
      <c r="L117" s="425"/>
      <c r="M117" s="425"/>
      <c r="N117" s="425"/>
      <c r="P117" s="421"/>
      <c r="Q117" s="418"/>
      <c r="R117" s="418"/>
    </row>
    <row r="118" spans="1:18" x14ac:dyDescent="0.2">
      <c r="B118" s="419" t="s">
        <v>391</v>
      </c>
      <c r="C118" s="419"/>
      <c r="F118" s="424"/>
      <c r="G118" s="424"/>
      <c r="H118" s="424"/>
      <c r="I118" s="425"/>
      <c r="J118" s="419"/>
      <c r="K118" s="425"/>
      <c r="L118" s="425"/>
      <c r="M118" s="425"/>
      <c r="N118" s="425"/>
      <c r="P118" s="421"/>
      <c r="Q118" s="418"/>
      <c r="R118" s="418"/>
    </row>
    <row r="119" spans="1:18" x14ac:dyDescent="0.2">
      <c r="B119" s="419"/>
      <c r="C119" s="419"/>
      <c r="F119" s="424"/>
      <c r="G119" s="424"/>
      <c r="H119" s="424"/>
      <c r="I119" s="425"/>
      <c r="J119" s="425"/>
      <c r="K119" s="425"/>
      <c r="L119" s="425"/>
      <c r="M119" s="425"/>
      <c r="N119" s="425"/>
      <c r="Q119" s="418"/>
      <c r="R119" s="418"/>
    </row>
    <row r="120" spans="1:18" x14ac:dyDescent="0.2">
      <c r="A120" s="418">
        <v>4</v>
      </c>
      <c r="B120" s="419" t="s">
        <v>357</v>
      </c>
      <c r="C120" s="419"/>
      <c r="E120" s="424"/>
      <c r="F120" s="424"/>
      <c r="G120" s="424"/>
      <c r="H120" s="424"/>
      <c r="I120" s="425"/>
      <c r="J120" s="425"/>
      <c r="K120" s="425"/>
      <c r="L120" s="425"/>
      <c r="M120" s="425"/>
      <c r="N120" s="425"/>
      <c r="O120" s="421"/>
      <c r="P120" s="421"/>
      <c r="Q120" s="418"/>
      <c r="R120" s="418"/>
    </row>
    <row r="121" spans="1:18" x14ac:dyDescent="0.2">
      <c r="B121" s="419" t="s">
        <v>358</v>
      </c>
      <c r="C121" s="419"/>
      <c r="E121" s="424"/>
      <c r="F121" s="424"/>
      <c r="G121" s="424"/>
      <c r="H121" s="424"/>
      <c r="I121" s="425"/>
      <c r="J121" s="425"/>
      <c r="K121" s="425"/>
      <c r="L121" s="425"/>
      <c r="M121" s="425"/>
      <c r="N121" s="425"/>
      <c r="Q121" s="418"/>
      <c r="R121" s="418"/>
    </row>
    <row r="122" spans="1:18" x14ac:dyDescent="0.2">
      <c r="B122" s="419"/>
      <c r="C122" s="419" t="s">
        <v>359</v>
      </c>
      <c r="D122" s="424"/>
      <c r="F122" s="424"/>
      <c r="G122" s="424"/>
      <c r="H122" s="424"/>
      <c r="I122" s="425"/>
      <c r="J122" s="425"/>
      <c r="K122" s="425"/>
      <c r="L122" s="425"/>
      <c r="M122" s="425"/>
      <c r="N122" s="425"/>
      <c r="Q122" s="418"/>
      <c r="R122" s="418"/>
    </row>
    <row r="123" spans="1:18" x14ac:dyDescent="0.2">
      <c r="B123" s="419"/>
      <c r="C123" s="419"/>
      <c r="D123" s="424"/>
      <c r="F123" s="424"/>
      <c r="G123" s="424"/>
      <c r="H123" s="424"/>
      <c r="I123" s="419"/>
      <c r="J123" s="419"/>
      <c r="K123" s="425"/>
      <c r="L123" s="425"/>
      <c r="M123" s="425"/>
      <c r="N123" s="425"/>
      <c r="Q123" s="418"/>
      <c r="R123" s="418"/>
    </row>
    <row r="124" spans="1:18" x14ac:dyDescent="0.2">
      <c r="B124" s="419" t="s">
        <v>392</v>
      </c>
      <c r="C124" s="419"/>
      <c r="D124" s="424"/>
      <c r="F124" s="424"/>
      <c r="G124" s="424"/>
      <c r="H124" s="424"/>
      <c r="I124" s="419"/>
      <c r="J124" s="419"/>
      <c r="K124" s="425"/>
      <c r="L124" s="425"/>
      <c r="M124" s="425"/>
      <c r="N124" s="425"/>
      <c r="Q124" s="418"/>
      <c r="R124" s="418"/>
    </row>
    <row r="125" spans="1:18" x14ac:dyDescent="0.2">
      <c r="B125" s="419"/>
      <c r="C125" s="419"/>
      <c r="F125" s="424"/>
      <c r="G125" s="424"/>
      <c r="H125" s="424"/>
      <c r="I125" s="419"/>
      <c r="J125" s="419"/>
      <c r="K125" s="425"/>
      <c r="L125" s="425"/>
      <c r="M125" s="425"/>
      <c r="N125" s="425"/>
      <c r="Q125" s="418"/>
      <c r="R125" s="418"/>
    </row>
    <row r="126" spans="1:18" x14ac:dyDescent="0.2">
      <c r="A126" s="418">
        <v>5</v>
      </c>
      <c r="B126" s="419" t="s">
        <v>349</v>
      </c>
      <c r="C126" s="419"/>
      <c r="E126" s="424"/>
      <c r="F126" s="424">
        <v>0</v>
      </c>
      <c r="G126" s="424"/>
      <c r="H126" s="424"/>
      <c r="I126" s="419"/>
      <c r="J126" s="419"/>
      <c r="K126" s="425"/>
      <c r="L126" s="425"/>
      <c r="M126" s="425"/>
      <c r="N126" s="425"/>
      <c r="Q126" s="418"/>
      <c r="R126" s="418"/>
    </row>
    <row r="127" spans="1:18" x14ac:dyDescent="0.2">
      <c r="A127" s="434"/>
      <c r="B127" s="419"/>
      <c r="C127" s="419" t="s">
        <v>381</v>
      </c>
      <c r="D127" s="424"/>
      <c r="E127" s="424">
        <v>0</v>
      </c>
      <c r="F127" s="424"/>
      <c r="G127" s="424"/>
      <c r="H127" s="424"/>
      <c r="I127" s="419"/>
      <c r="J127" s="419"/>
      <c r="K127" s="433"/>
      <c r="L127" s="425"/>
      <c r="M127" s="425"/>
      <c r="N127" s="425"/>
      <c r="Q127" s="418"/>
      <c r="R127" s="418"/>
    </row>
    <row r="128" spans="1:18" x14ac:dyDescent="0.2">
      <c r="F128" s="424"/>
      <c r="G128" s="424"/>
      <c r="H128" s="424"/>
      <c r="I128" s="419"/>
      <c r="J128" s="419"/>
      <c r="K128" s="433"/>
      <c r="L128" s="425"/>
      <c r="M128" s="425"/>
      <c r="N128" s="425"/>
      <c r="Q128" s="418"/>
      <c r="R128" s="418"/>
    </row>
    <row r="129" spans="1:18" x14ac:dyDescent="0.2">
      <c r="B129" s="418" t="s">
        <v>393</v>
      </c>
      <c r="F129" s="424"/>
      <c r="G129" s="424"/>
      <c r="H129" s="424"/>
      <c r="I129" s="425"/>
      <c r="J129" s="419"/>
      <c r="K129" s="433"/>
      <c r="L129" s="425"/>
      <c r="M129" s="425"/>
      <c r="N129" s="425"/>
      <c r="Q129" s="418"/>
      <c r="R129" s="418"/>
    </row>
    <row r="130" spans="1:18" x14ac:dyDescent="0.2">
      <c r="F130" s="424"/>
      <c r="G130" s="424"/>
      <c r="H130" s="424"/>
      <c r="J130" s="419"/>
      <c r="K130" s="435"/>
      <c r="M130" s="425"/>
      <c r="N130" s="425"/>
      <c r="Q130" s="418"/>
      <c r="R130" s="418"/>
    </row>
    <row r="131" spans="1:18" x14ac:dyDescent="0.2">
      <c r="A131" s="418">
        <v>6</v>
      </c>
      <c r="B131" s="418" t="s">
        <v>388</v>
      </c>
      <c r="D131" s="424"/>
      <c r="E131" s="424"/>
      <c r="F131" s="424"/>
      <c r="G131" s="424"/>
      <c r="H131" s="424"/>
      <c r="L131" s="436"/>
      <c r="M131" s="425"/>
      <c r="N131" s="425"/>
      <c r="Q131" s="418"/>
      <c r="R131" s="418"/>
    </row>
    <row r="132" spans="1:18" x14ac:dyDescent="0.2">
      <c r="C132" s="418" t="s">
        <v>389</v>
      </c>
      <c r="D132" s="424"/>
      <c r="E132" s="424"/>
      <c r="F132" s="424"/>
      <c r="G132" s="424"/>
      <c r="H132" s="424"/>
      <c r="L132" s="437"/>
      <c r="M132" s="425"/>
      <c r="N132" s="425"/>
      <c r="Q132" s="418"/>
      <c r="R132" s="418"/>
    </row>
    <row r="133" spans="1:18" x14ac:dyDescent="0.2">
      <c r="H133" s="424"/>
      <c r="M133" s="425"/>
      <c r="N133" s="425"/>
      <c r="Q133" s="418"/>
      <c r="R133" s="418"/>
    </row>
    <row r="134" spans="1:18" x14ac:dyDescent="0.2">
      <c r="B134" s="418" t="s">
        <v>390</v>
      </c>
      <c r="H134" s="424"/>
      <c r="M134" s="425"/>
      <c r="N134" s="425"/>
      <c r="Q134" s="418"/>
      <c r="R134" s="418"/>
    </row>
    <row r="135" spans="1:18" x14ac:dyDescent="0.2">
      <c r="D135" s="424"/>
      <c r="E135" s="424"/>
      <c r="F135" s="424"/>
      <c r="G135" s="424"/>
      <c r="H135" s="424"/>
      <c r="M135" s="425"/>
      <c r="N135" s="425"/>
      <c r="Q135" s="418"/>
      <c r="R135" s="418"/>
    </row>
    <row r="136" spans="1:18" x14ac:dyDescent="0.2">
      <c r="A136" s="418">
        <v>7</v>
      </c>
      <c r="B136" s="419" t="s">
        <v>350</v>
      </c>
      <c r="F136" s="424"/>
      <c r="G136" s="424"/>
      <c r="H136" s="424"/>
      <c r="M136" s="425"/>
      <c r="N136" s="425"/>
      <c r="Q136" s="418"/>
      <c r="R136" s="418"/>
    </row>
    <row r="137" spans="1:18" x14ac:dyDescent="0.2">
      <c r="B137" s="419" t="s">
        <v>358</v>
      </c>
      <c r="F137" s="424"/>
      <c r="G137" s="424"/>
      <c r="H137" s="424"/>
      <c r="M137" s="425"/>
      <c r="N137" s="425"/>
      <c r="Q137" s="418"/>
      <c r="R137" s="418"/>
    </row>
    <row r="138" spans="1:18" x14ac:dyDescent="0.2">
      <c r="B138" s="419"/>
      <c r="C138" s="418" t="s">
        <v>410</v>
      </c>
      <c r="F138" s="424"/>
      <c r="G138" s="424"/>
      <c r="H138" s="424"/>
      <c r="M138" s="425"/>
      <c r="N138" s="425"/>
      <c r="Q138" s="418"/>
      <c r="R138" s="418"/>
    </row>
    <row r="139" spans="1:18" x14ac:dyDescent="0.2">
      <c r="C139" s="418" t="s">
        <v>410</v>
      </c>
      <c r="F139" s="424"/>
      <c r="G139" s="424"/>
      <c r="H139" s="424"/>
      <c r="M139" s="425"/>
      <c r="N139" s="425"/>
      <c r="Q139" s="418"/>
      <c r="R139" s="418"/>
    </row>
    <row r="140" spans="1:18" x14ac:dyDescent="0.2">
      <c r="F140" s="424"/>
      <c r="G140" s="424"/>
      <c r="H140" s="424"/>
      <c r="I140" s="425"/>
      <c r="J140" s="425"/>
      <c r="K140" s="425"/>
      <c r="L140" s="425"/>
      <c r="M140" s="425"/>
      <c r="N140" s="425"/>
      <c r="Q140" s="418"/>
      <c r="R140" s="418"/>
    </row>
    <row r="141" spans="1:18" x14ac:dyDescent="0.2">
      <c r="B141" s="418" t="s">
        <v>407</v>
      </c>
      <c r="D141" s="424"/>
      <c r="E141" s="424"/>
      <c r="F141" s="424"/>
      <c r="G141" s="424"/>
      <c r="H141" s="424"/>
      <c r="I141" s="425"/>
      <c r="J141" s="425"/>
      <c r="K141" s="425"/>
      <c r="L141" s="425"/>
      <c r="M141" s="425"/>
      <c r="N141" s="425"/>
      <c r="Q141" s="418"/>
      <c r="R141" s="418"/>
    </row>
    <row r="142" spans="1:18" x14ac:dyDescent="0.2">
      <c r="H142" s="424"/>
      <c r="I142" s="425"/>
      <c r="J142" s="425"/>
      <c r="K142" s="425"/>
      <c r="L142" s="425"/>
      <c r="M142" s="425"/>
      <c r="N142" s="425"/>
      <c r="Q142" s="418"/>
      <c r="R142" s="418"/>
    </row>
    <row r="143" spans="1:18" x14ac:dyDescent="0.2">
      <c r="A143" s="432">
        <v>8</v>
      </c>
      <c r="B143" s="426" t="s">
        <v>1080</v>
      </c>
      <c r="C143" s="426"/>
      <c r="D143" s="438">
        <v>683151</v>
      </c>
      <c r="E143" s="424"/>
      <c r="F143" s="424"/>
      <c r="G143" s="424"/>
      <c r="H143" s="424" t="s">
        <v>412</v>
      </c>
      <c r="I143" s="425"/>
      <c r="J143" s="425"/>
      <c r="K143" s="425"/>
      <c r="L143" s="425"/>
      <c r="M143" s="425"/>
      <c r="N143" s="425"/>
      <c r="Q143" s="418"/>
      <c r="R143" s="418"/>
    </row>
    <row r="144" spans="1:18" x14ac:dyDescent="0.2">
      <c r="C144" s="426" t="s">
        <v>1003</v>
      </c>
      <c r="D144" s="424"/>
      <c r="E144" s="438">
        <v>683151</v>
      </c>
      <c r="F144" s="424"/>
      <c r="G144" s="424"/>
      <c r="H144" s="424" t="s">
        <v>412</v>
      </c>
      <c r="I144" s="425"/>
      <c r="J144" s="425"/>
      <c r="K144" s="425"/>
      <c r="L144" s="425"/>
      <c r="M144" s="425"/>
      <c r="N144" s="425"/>
      <c r="Q144" s="418"/>
      <c r="R144" s="418"/>
    </row>
    <row r="145" spans="1:18" x14ac:dyDescent="0.2">
      <c r="H145" s="424"/>
      <c r="I145" s="425"/>
      <c r="J145" s="425"/>
      <c r="K145" s="425"/>
      <c r="L145" s="425"/>
      <c r="M145" s="425"/>
      <c r="N145" s="425"/>
      <c r="Q145" s="418"/>
      <c r="R145" s="418"/>
    </row>
    <row r="146" spans="1:18" x14ac:dyDescent="0.2">
      <c r="B146" s="426" t="s">
        <v>1079</v>
      </c>
      <c r="C146" s="426"/>
      <c r="H146" s="424"/>
      <c r="I146" s="425"/>
      <c r="J146" s="425"/>
      <c r="K146" s="425"/>
      <c r="L146" s="425"/>
      <c r="M146" s="425"/>
      <c r="N146" s="425"/>
      <c r="Q146" s="418"/>
      <c r="R146" s="418"/>
    </row>
    <row r="147" spans="1:18" x14ac:dyDescent="0.2">
      <c r="H147" s="424"/>
      <c r="I147" s="425"/>
      <c r="J147" s="425"/>
      <c r="K147" s="425"/>
      <c r="L147" s="425"/>
      <c r="M147" s="425"/>
      <c r="N147" s="425"/>
      <c r="Q147" s="418"/>
      <c r="R147" s="418"/>
    </row>
    <row r="148" spans="1:18" x14ac:dyDescent="0.2">
      <c r="A148" s="418">
        <v>9</v>
      </c>
      <c r="B148" s="418" t="s">
        <v>30</v>
      </c>
      <c r="F148" s="424"/>
      <c r="G148" s="424"/>
      <c r="H148" s="424"/>
      <c r="I148" s="425"/>
      <c r="J148" s="425"/>
      <c r="K148" s="425"/>
      <c r="L148" s="425"/>
      <c r="M148" s="425"/>
      <c r="N148" s="425"/>
      <c r="Q148" s="418"/>
      <c r="R148" s="418"/>
    </row>
    <row r="149" spans="1:18" x14ac:dyDescent="0.2">
      <c r="C149" s="418" t="s">
        <v>408</v>
      </c>
      <c r="F149" s="424"/>
      <c r="G149" s="424"/>
      <c r="H149" s="424"/>
      <c r="I149" s="425"/>
      <c r="J149" s="425"/>
      <c r="K149" s="425"/>
      <c r="L149" s="425"/>
      <c r="M149" s="425"/>
      <c r="N149" s="425"/>
      <c r="Q149" s="418"/>
      <c r="R149" s="418"/>
    </row>
    <row r="150" spans="1:18" x14ac:dyDescent="0.2">
      <c r="H150" s="424"/>
      <c r="I150" s="425"/>
      <c r="J150" s="425"/>
      <c r="K150" s="425"/>
      <c r="L150" s="425"/>
      <c r="M150" s="425"/>
      <c r="N150" s="425"/>
      <c r="Q150" s="418"/>
      <c r="R150" s="418"/>
    </row>
    <row r="151" spans="1:18" x14ac:dyDescent="0.2">
      <c r="B151" s="418" t="s">
        <v>409</v>
      </c>
      <c r="H151" s="424"/>
      <c r="I151" s="425"/>
      <c r="J151" s="425"/>
      <c r="K151" s="425"/>
      <c r="L151" s="425"/>
      <c r="M151" s="425"/>
      <c r="N151" s="425"/>
      <c r="Q151" s="418"/>
      <c r="R151" s="418"/>
    </row>
    <row r="152" spans="1:18" x14ac:dyDescent="0.2">
      <c r="H152" s="424"/>
      <c r="I152" s="425"/>
      <c r="J152" s="425"/>
      <c r="K152" s="425"/>
      <c r="L152" s="425"/>
      <c r="M152" s="425"/>
      <c r="N152" s="425"/>
      <c r="Q152" s="418"/>
      <c r="R152" s="418"/>
    </row>
    <row r="153" spans="1:18" x14ac:dyDescent="0.2">
      <c r="A153" s="432">
        <v>10</v>
      </c>
      <c r="B153" s="419" t="s">
        <v>170</v>
      </c>
      <c r="C153" s="419"/>
      <c r="E153" s="424"/>
      <c r="F153" s="424"/>
      <c r="G153" s="424"/>
      <c r="H153" s="424"/>
      <c r="I153" s="425"/>
      <c r="J153" s="425"/>
      <c r="K153" s="425"/>
      <c r="L153" s="425"/>
      <c r="M153" s="425"/>
      <c r="N153" s="425"/>
      <c r="Q153" s="418"/>
      <c r="R153" s="418"/>
    </row>
    <row r="154" spans="1:18" x14ac:dyDescent="0.2">
      <c r="C154" s="419" t="s">
        <v>30</v>
      </c>
      <c r="E154" s="424"/>
      <c r="F154" s="424"/>
      <c r="G154" s="424"/>
      <c r="H154" s="424"/>
      <c r="I154" s="425"/>
      <c r="J154" s="425"/>
      <c r="K154" s="425"/>
      <c r="L154" s="425"/>
      <c r="M154" s="425"/>
      <c r="N154" s="425"/>
      <c r="Q154" s="418"/>
      <c r="R154" s="418"/>
    </row>
    <row r="155" spans="1:18" x14ac:dyDescent="0.2">
      <c r="B155" s="419"/>
      <c r="C155" s="419" t="s">
        <v>932</v>
      </c>
      <c r="H155" s="424"/>
      <c r="I155" s="425"/>
      <c r="J155" s="425"/>
      <c r="K155" s="425"/>
      <c r="L155" s="425"/>
      <c r="M155" s="425"/>
      <c r="N155" s="425"/>
      <c r="Q155" s="418"/>
      <c r="R155" s="418"/>
    </row>
    <row r="156" spans="1:18" x14ac:dyDescent="0.2">
      <c r="B156" s="419" t="s">
        <v>267</v>
      </c>
      <c r="C156" s="419"/>
      <c r="D156" s="424"/>
      <c r="E156" s="424"/>
      <c r="F156" s="424"/>
      <c r="G156" s="424"/>
      <c r="H156" s="424"/>
      <c r="I156" s="425"/>
      <c r="J156" s="425"/>
      <c r="K156" s="425"/>
      <c r="L156" s="425"/>
      <c r="M156" s="425"/>
      <c r="N156" s="425"/>
      <c r="Q156" s="418"/>
      <c r="R156" s="418"/>
    </row>
    <row r="157" spans="1:18" x14ac:dyDescent="0.2">
      <c r="D157" s="424"/>
      <c r="E157" s="424"/>
      <c r="F157" s="424"/>
      <c r="G157" s="424"/>
      <c r="H157" s="424"/>
      <c r="I157" s="425"/>
      <c r="J157" s="425"/>
      <c r="K157" s="425"/>
      <c r="L157" s="425"/>
      <c r="M157" s="425"/>
      <c r="N157" s="425"/>
      <c r="Q157" s="418"/>
      <c r="R157" s="418"/>
    </row>
    <row r="158" spans="1:18" x14ac:dyDescent="0.2">
      <c r="D158" s="424"/>
      <c r="E158" s="424"/>
      <c r="F158" s="424"/>
      <c r="G158" s="424"/>
      <c r="H158" s="424"/>
      <c r="I158" s="425"/>
      <c r="J158" s="425"/>
      <c r="K158" s="425"/>
      <c r="L158" s="425"/>
      <c r="M158" s="425"/>
      <c r="N158" s="425"/>
      <c r="Q158" s="418"/>
      <c r="R158" s="418"/>
    </row>
    <row r="159" spans="1:18" x14ac:dyDescent="0.2">
      <c r="A159" s="418">
        <v>11</v>
      </c>
      <c r="D159" s="424"/>
      <c r="E159" s="424"/>
      <c r="F159" s="424"/>
      <c r="G159" s="424"/>
      <c r="H159" s="424"/>
      <c r="I159" s="425"/>
      <c r="J159" s="425"/>
      <c r="K159" s="425"/>
      <c r="L159" s="425"/>
      <c r="M159" s="425"/>
      <c r="N159" s="425"/>
      <c r="Q159" s="418"/>
      <c r="R159" s="418"/>
    </row>
    <row r="160" spans="1:18" x14ac:dyDescent="0.2">
      <c r="D160" s="424"/>
      <c r="E160" s="424"/>
      <c r="F160" s="424"/>
      <c r="G160" s="424"/>
      <c r="H160" s="424"/>
      <c r="I160" s="425"/>
      <c r="J160" s="425"/>
      <c r="K160" s="425"/>
      <c r="L160" s="425"/>
      <c r="M160" s="425"/>
      <c r="N160" s="425"/>
      <c r="Q160" s="418"/>
      <c r="R160" s="418"/>
    </row>
    <row r="161" spans="1:18" x14ac:dyDescent="0.2">
      <c r="D161" s="424"/>
      <c r="E161" s="424"/>
      <c r="F161" s="424"/>
      <c r="G161" s="424"/>
      <c r="H161" s="424"/>
      <c r="I161" s="425"/>
      <c r="J161" s="425"/>
      <c r="K161" s="425"/>
      <c r="L161" s="425"/>
      <c r="M161" s="425"/>
      <c r="N161" s="425"/>
      <c r="Q161" s="418"/>
      <c r="R161" s="418"/>
    </row>
    <row r="162" spans="1:18" x14ac:dyDescent="0.2">
      <c r="D162" s="424"/>
      <c r="E162" s="424"/>
      <c r="F162" s="424"/>
      <c r="G162" s="424"/>
      <c r="H162" s="424"/>
      <c r="I162" s="425"/>
      <c r="J162" s="425"/>
      <c r="K162" s="425"/>
      <c r="L162" s="425"/>
      <c r="M162" s="425"/>
      <c r="N162" s="425"/>
      <c r="Q162" s="418"/>
      <c r="R162" s="418"/>
    </row>
    <row r="163" spans="1:18" x14ac:dyDescent="0.2">
      <c r="D163" s="424"/>
      <c r="E163" s="424"/>
      <c r="F163" s="424"/>
      <c r="G163" s="424"/>
      <c r="H163" s="424"/>
      <c r="I163" s="425"/>
      <c r="J163" s="425"/>
      <c r="K163" s="425"/>
      <c r="L163" s="425"/>
      <c r="M163" s="425"/>
      <c r="N163" s="425"/>
      <c r="Q163" s="418"/>
      <c r="R163" s="418"/>
    </row>
    <row r="164" spans="1:18" x14ac:dyDescent="0.2">
      <c r="D164" s="424"/>
      <c r="E164" s="424"/>
      <c r="F164" s="424"/>
      <c r="G164" s="424"/>
      <c r="H164" s="424"/>
      <c r="I164" s="425"/>
      <c r="J164" s="425"/>
      <c r="K164" s="425"/>
      <c r="L164" s="425"/>
      <c r="M164" s="425"/>
      <c r="N164" s="425"/>
      <c r="Q164" s="418"/>
      <c r="R164" s="418"/>
    </row>
    <row r="165" spans="1:18" x14ac:dyDescent="0.2">
      <c r="A165" s="418">
        <v>12</v>
      </c>
      <c r="D165" s="424"/>
      <c r="E165" s="424"/>
      <c r="F165" s="424"/>
      <c r="G165" s="424"/>
      <c r="H165" s="424"/>
      <c r="I165" s="425"/>
      <c r="J165" s="425"/>
      <c r="K165" s="425"/>
      <c r="L165" s="425"/>
      <c r="M165" s="425"/>
      <c r="N165" s="425"/>
      <c r="Q165" s="418"/>
      <c r="R165" s="418"/>
    </row>
    <row r="166" spans="1:18" x14ac:dyDescent="0.2">
      <c r="D166" s="424"/>
      <c r="E166" s="424"/>
      <c r="F166" s="424"/>
      <c r="G166" s="424"/>
      <c r="H166" s="424"/>
      <c r="I166" s="425"/>
      <c r="J166" s="425"/>
      <c r="K166" s="425"/>
      <c r="L166" s="425"/>
      <c r="M166" s="425"/>
      <c r="N166" s="425"/>
      <c r="Q166" s="418"/>
      <c r="R166" s="418"/>
    </row>
    <row r="167" spans="1:18" x14ac:dyDescent="0.2">
      <c r="D167" s="424"/>
      <c r="E167" s="424"/>
      <c r="F167" s="424"/>
      <c r="G167" s="424"/>
      <c r="H167" s="424"/>
      <c r="I167" s="425"/>
      <c r="J167" s="425"/>
      <c r="K167" s="425"/>
      <c r="L167" s="425"/>
      <c r="M167" s="425"/>
      <c r="N167" s="425"/>
      <c r="Q167" s="418"/>
      <c r="R167" s="418"/>
    </row>
    <row r="168" spans="1:18" x14ac:dyDescent="0.2">
      <c r="D168" s="424"/>
      <c r="E168" s="424"/>
      <c r="F168" s="424"/>
      <c r="G168" s="424"/>
      <c r="H168" s="424"/>
      <c r="I168" s="425"/>
      <c r="J168" s="425"/>
      <c r="K168" s="425"/>
      <c r="L168" s="425"/>
      <c r="M168" s="425"/>
      <c r="N168" s="425"/>
      <c r="Q168" s="418"/>
      <c r="R168" s="418"/>
    </row>
    <row r="169" spans="1:18" x14ac:dyDescent="0.2">
      <c r="A169" s="418">
        <v>13</v>
      </c>
      <c r="B169" s="418" t="s">
        <v>440</v>
      </c>
      <c r="D169" s="424"/>
      <c r="E169" s="424"/>
      <c r="F169" s="424"/>
      <c r="G169" s="424"/>
      <c r="H169" s="424"/>
      <c r="I169" s="425"/>
      <c r="J169" s="425"/>
      <c r="K169" s="425"/>
      <c r="L169" s="425"/>
      <c r="M169" s="425"/>
      <c r="N169" s="425"/>
      <c r="Q169" s="418"/>
      <c r="R169" s="418"/>
    </row>
    <row r="170" spans="1:18" x14ac:dyDescent="0.2">
      <c r="C170" s="418" t="s">
        <v>441</v>
      </c>
      <c r="D170" s="424"/>
      <c r="E170" s="424"/>
      <c r="F170" s="424"/>
      <c r="G170" s="424"/>
      <c r="H170" s="424"/>
      <c r="I170" s="425"/>
      <c r="J170" s="425"/>
      <c r="K170" s="425"/>
      <c r="L170" s="425"/>
      <c r="M170" s="425"/>
      <c r="N170" s="425"/>
      <c r="Q170" s="418"/>
      <c r="R170" s="418"/>
    </row>
    <row r="171" spans="1:18" x14ac:dyDescent="0.2">
      <c r="D171" s="424"/>
      <c r="E171" s="424"/>
      <c r="F171" s="424"/>
      <c r="G171" s="424"/>
      <c r="H171" s="424"/>
      <c r="I171" s="425"/>
      <c r="J171" s="425"/>
      <c r="K171" s="425"/>
      <c r="L171" s="425"/>
      <c r="M171" s="425"/>
      <c r="N171" s="425"/>
      <c r="Q171" s="418"/>
      <c r="R171" s="418"/>
    </row>
    <row r="172" spans="1:18" x14ac:dyDescent="0.2">
      <c r="D172" s="424"/>
      <c r="E172" s="424"/>
      <c r="F172" s="424"/>
      <c r="G172" s="424"/>
      <c r="H172" s="424"/>
      <c r="I172" s="425"/>
      <c r="J172" s="425"/>
      <c r="K172" s="425"/>
      <c r="L172" s="425"/>
      <c r="M172" s="425"/>
      <c r="N172" s="425"/>
      <c r="Q172" s="418"/>
      <c r="R172" s="418"/>
    </row>
    <row r="173" spans="1:18" x14ac:dyDescent="0.2">
      <c r="A173" s="418">
        <v>14</v>
      </c>
      <c r="B173" s="418" t="s">
        <v>487</v>
      </c>
      <c r="D173" s="424"/>
      <c r="E173" s="424"/>
      <c r="F173" s="424"/>
      <c r="G173" s="424"/>
      <c r="H173" s="424"/>
      <c r="I173" s="425"/>
      <c r="J173" s="425"/>
      <c r="K173" s="425"/>
      <c r="L173" s="425"/>
      <c r="M173" s="425"/>
      <c r="N173" s="425"/>
      <c r="Q173" s="418"/>
      <c r="R173" s="418"/>
    </row>
    <row r="174" spans="1:18" x14ac:dyDescent="0.2">
      <c r="B174" s="418" t="s">
        <v>485</v>
      </c>
      <c r="D174" s="424"/>
      <c r="E174" s="424"/>
      <c r="F174" s="424"/>
      <c r="G174" s="424"/>
      <c r="H174" s="424"/>
      <c r="I174" s="425"/>
      <c r="J174" s="425"/>
      <c r="K174" s="425"/>
      <c r="L174" s="425"/>
      <c r="M174" s="425"/>
      <c r="N174" s="425"/>
      <c r="Q174" s="418"/>
      <c r="R174" s="418"/>
    </row>
    <row r="175" spans="1:18" x14ac:dyDescent="0.2">
      <c r="C175" s="418" t="s">
        <v>488</v>
      </c>
      <c r="D175" s="424"/>
      <c r="E175" s="424"/>
      <c r="F175" s="424"/>
      <c r="G175" s="424"/>
      <c r="H175" s="424"/>
      <c r="I175" s="425"/>
      <c r="J175" s="425"/>
      <c r="K175" s="425"/>
      <c r="L175" s="425"/>
      <c r="M175" s="425"/>
      <c r="N175" s="425"/>
      <c r="Q175" s="418"/>
      <c r="R175" s="418"/>
    </row>
    <row r="176" spans="1:18" x14ac:dyDescent="0.2">
      <c r="C176" s="418" t="s">
        <v>489</v>
      </c>
      <c r="D176" s="424"/>
      <c r="E176" s="424"/>
      <c r="F176" s="424"/>
      <c r="G176" s="424"/>
      <c r="H176" s="424"/>
      <c r="I176" s="425"/>
      <c r="J176" s="425"/>
      <c r="K176" s="425"/>
      <c r="L176" s="425"/>
      <c r="M176" s="425"/>
      <c r="N176" s="425"/>
      <c r="Q176" s="418"/>
      <c r="R176" s="418"/>
    </row>
    <row r="177" spans="1:20" x14ac:dyDescent="0.2">
      <c r="D177" s="424"/>
      <c r="E177" s="424"/>
      <c r="F177" s="424"/>
      <c r="G177" s="424"/>
      <c r="H177" s="424"/>
      <c r="I177" s="425"/>
      <c r="J177" s="425"/>
      <c r="K177" s="425"/>
      <c r="L177" s="425"/>
      <c r="M177" s="425"/>
      <c r="N177" s="425"/>
      <c r="Q177" s="418"/>
      <c r="R177" s="418"/>
    </row>
    <row r="178" spans="1:20" x14ac:dyDescent="0.2">
      <c r="B178" s="419" t="s">
        <v>269</v>
      </c>
      <c r="D178" s="424"/>
      <c r="E178" s="424"/>
      <c r="F178" s="424"/>
      <c r="G178" s="424"/>
      <c r="H178" s="424"/>
      <c r="I178" s="425"/>
      <c r="J178" s="425"/>
      <c r="K178" s="425"/>
      <c r="L178" s="425"/>
      <c r="M178" s="425"/>
      <c r="N178" s="425"/>
      <c r="Q178" s="418"/>
      <c r="R178" s="418"/>
    </row>
    <row r="179" spans="1:20" x14ac:dyDescent="0.2">
      <c r="D179" s="424"/>
      <c r="E179" s="424"/>
      <c r="F179" s="424"/>
      <c r="G179" s="424"/>
      <c r="H179" s="424"/>
      <c r="I179" s="425"/>
      <c r="J179" s="425"/>
      <c r="K179" s="425"/>
      <c r="L179" s="425"/>
      <c r="M179" s="425"/>
      <c r="N179" s="425"/>
      <c r="Q179" s="418"/>
      <c r="R179" s="418"/>
    </row>
    <row r="180" spans="1:20" x14ac:dyDescent="0.2">
      <c r="D180" s="424"/>
      <c r="E180" s="424"/>
      <c r="F180" s="424"/>
      <c r="G180" s="424"/>
      <c r="H180" s="424"/>
      <c r="I180" s="424"/>
      <c r="J180" s="424"/>
      <c r="K180" s="424"/>
      <c r="L180" s="424"/>
      <c r="M180" s="424"/>
      <c r="N180" s="424"/>
      <c r="O180" s="424"/>
      <c r="P180" s="425" t="s">
        <v>608</v>
      </c>
      <c r="Q180" s="425"/>
      <c r="R180" s="439" t="s">
        <v>608</v>
      </c>
      <c r="S180" s="440" t="s">
        <v>609</v>
      </c>
      <c r="T180" s="441"/>
    </row>
    <row r="181" spans="1:20" x14ac:dyDescent="0.2">
      <c r="A181" s="432">
        <v>15</v>
      </c>
      <c r="B181" s="418" t="s">
        <v>535</v>
      </c>
      <c r="D181" s="424"/>
      <c r="E181" s="424"/>
      <c r="F181" s="438"/>
      <c r="G181" s="424"/>
      <c r="H181" s="424"/>
      <c r="I181" s="424"/>
      <c r="J181" s="438">
        <f>K182+K184+K185+K186</f>
        <v>7520562</v>
      </c>
      <c r="K181" s="424"/>
      <c r="L181" s="424"/>
      <c r="M181" s="425" t="s">
        <v>315</v>
      </c>
      <c r="N181" s="425">
        <f>G182+G186</f>
        <v>0</v>
      </c>
      <c r="O181" s="425"/>
      <c r="P181" s="425">
        <f>G182+G186</f>
        <v>0</v>
      </c>
      <c r="Q181" s="425" t="s">
        <v>315</v>
      </c>
      <c r="R181" s="442">
        <v>3688862</v>
      </c>
      <c r="S181" s="443"/>
      <c r="T181" s="444">
        <f>SUM(R181:S181)</f>
        <v>3688862</v>
      </c>
    </row>
    <row r="182" spans="1:20" x14ac:dyDescent="0.2">
      <c r="B182" s="418" t="s">
        <v>540</v>
      </c>
      <c r="D182" s="424"/>
      <c r="E182" s="424"/>
      <c r="F182" s="424"/>
      <c r="G182" s="438"/>
      <c r="H182" s="424"/>
      <c r="I182" s="424"/>
      <c r="J182" s="424"/>
      <c r="K182" s="438">
        <v>3688862</v>
      </c>
      <c r="L182" s="424"/>
      <c r="M182" s="425" t="s">
        <v>678</v>
      </c>
      <c r="N182" s="425">
        <f>G195</f>
        <v>0</v>
      </c>
      <c r="O182" s="425"/>
      <c r="P182" s="425"/>
      <c r="Q182" s="425" t="s">
        <v>740</v>
      </c>
      <c r="R182" s="442"/>
      <c r="S182" s="443">
        <v>1535182</v>
      </c>
      <c r="T182" s="444">
        <f>SUM(R182:S182)</f>
        <v>1535182</v>
      </c>
    </row>
    <row r="183" spans="1:20" x14ac:dyDescent="0.2">
      <c r="B183" s="418" t="s">
        <v>653</v>
      </c>
      <c r="D183" s="424"/>
      <c r="E183" s="424"/>
      <c r="F183" s="424"/>
      <c r="G183" s="424"/>
      <c r="H183" s="424"/>
      <c r="I183" s="424"/>
      <c r="J183" s="424"/>
      <c r="K183" s="424"/>
      <c r="L183" s="424"/>
      <c r="M183" s="425" t="s">
        <v>679</v>
      </c>
      <c r="N183" s="425">
        <f>G184+G196</f>
        <v>0</v>
      </c>
      <c r="O183" s="425"/>
      <c r="P183" s="425">
        <f>G184</f>
        <v>0</v>
      </c>
      <c r="Q183" s="425" t="s">
        <v>741</v>
      </c>
      <c r="R183" s="442">
        <v>146700</v>
      </c>
      <c r="S183" s="443">
        <v>81966</v>
      </c>
      <c r="T183" s="444">
        <f>SUM(R183:S183)</f>
        <v>228666</v>
      </c>
    </row>
    <row r="184" spans="1:20" x14ac:dyDescent="0.2">
      <c r="B184" s="418" t="s">
        <v>541</v>
      </c>
      <c r="D184" s="424"/>
      <c r="E184" s="424"/>
      <c r="F184" s="424"/>
      <c r="G184" s="438"/>
      <c r="H184" s="424"/>
      <c r="I184" s="424"/>
      <c r="J184" s="424"/>
      <c r="K184" s="438">
        <v>50700</v>
      </c>
      <c r="L184" s="424"/>
      <c r="M184" s="425" t="s">
        <v>680</v>
      </c>
      <c r="N184" s="425">
        <f>G185</f>
        <v>0</v>
      </c>
      <c r="O184" s="425"/>
      <c r="P184" s="425">
        <f>G185</f>
        <v>0</v>
      </c>
      <c r="Q184" s="425" t="s">
        <v>680</v>
      </c>
      <c r="R184" s="442">
        <v>43105</v>
      </c>
      <c r="S184" s="443"/>
      <c r="T184" s="444">
        <f>SUM(R184:S184)</f>
        <v>43105</v>
      </c>
    </row>
    <row r="185" spans="1:20" x14ac:dyDescent="0.2">
      <c r="B185" s="418" t="s">
        <v>536</v>
      </c>
      <c r="D185" s="424"/>
      <c r="E185" s="424"/>
      <c r="F185" s="424"/>
      <c r="G185" s="438"/>
      <c r="H185" s="424"/>
      <c r="I185" s="424"/>
      <c r="J185" s="424"/>
      <c r="K185" s="438">
        <v>43195</v>
      </c>
      <c r="L185" s="424"/>
      <c r="M185" s="425"/>
      <c r="N185" s="425">
        <f>SUM(N181:N184)</f>
        <v>0</v>
      </c>
      <c r="O185" s="425"/>
      <c r="P185" s="425">
        <f>SUM(P181:P184)</f>
        <v>0</v>
      </c>
      <c r="Q185" s="425"/>
      <c r="R185" s="445">
        <f>SUM(R181:R184)</f>
        <v>3878667</v>
      </c>
      <c r="S185" s="446">
        <f>SUM(S181:S184)</f>
        <v>1617148</v>
      </c>
      <c r="T185" s="447">
        <f>SUM(T181:T184)</f>
        <v>5495815</v>
      </c>
    </row>
    <row r="186" spans="1:20" x14ac:dyDescent="0.2">
      <c r="B186" s="418" t="s">
        <v>654</v>
      </c>
      <c r="D186" s="424"/>
      <c r="E186" s="424"/>
      <c r="F186" s="424"/>
      <c r="G186" s="438"/>
      <c r="H186" s="424"/>
      <c r="I186" s="424"/>
      <c r="J186" s="424"/>
      <c r="K186" s="438">
        <v>3737805</v>
      </c>
      <c r="L186" s="424"/>
      <c r="M186" s="425"/>
      <c r="N186" s="425"/>
      <c r="O186" s="425"/>
      <c r="P186" s="425"/>
      <c r="Q186" s="425"/>
      <c r="R186" s="442"/>
      <c r="S186" s="443"/>
      <c r="T186" s="444"/>
    </row>
    <row r="187" spans="1:20" x14ac:dyDescent="0.2">
      <c r="B187" s="418" t="s">
        <v>13</v>
      </c>
      <c r="D187" s="424"/>
      <c r="E187" s="424"/>
      <c r="F187" s="438"/>
      <c r="G187" s="424"/>
      <c r="H187" s="424"/>
      <c r="I187" s="424"/>
      <c r="J187" s="438">
        <v>2130953</v>
      </c>
      <c r="K187" s="424"/>
      <c r="L187" s="424"/>
      <c r="M187" s="425"/>
      <c r="N187" s="425"/>
      <c r="O187" s="425"/>
      <c r="P187" s="425"/>
      <c r="Q187" s="425" t="s">
        <v>742</v>
      </c>
      <c r="R187" s="442">
        <v>2131453</v>
      </c>
      <c r="S187" s="443">
        <v>11750</v>
      </c>
      <c r="T187" s="444">
        <f>SUM(R187:S187)</f>
        <v>2143203</v>
      </c>
    </row>
    <row r="188" spans="1:20" x14ac:dyDescent="0.2">
      <c r="B188" s="418" t="s">
        <v>20</v>
      </c>
      <c r="D188" s="424"/>
      <c r="E188" s="424"/>
      <c r="F188" s="438"/>
      <c r="G188" s="424"/>
      <c r="H188" s="424"/>
      <c r="I188" s="424"/>
      <c r="J188" s="438">
        <v>12000</v>
      </c>
      <c r="K188" s="424"/>
      <c r="L188" s="424"/>
      <c r="M188" s="425" t="s">
        <v>681</v>
      </c>
      <c r="N188" s="425">
        <f>F187+F198</f>
        <v>0</v>
      </c>
      <c r="O188" s="425"/>
      <c r="P188" s="425">
        <f>F187</f>
        <v>0</v>
      </c>
      <c r="Q188" s="425" t="s">
        <v>743</v>
      </c>
      <c r="R188" s="442">
        <v>12000</v>
      </c>
      <c r="S188" s="443">
        <v>7000</v>
      </c>
      <c r="T188" s="444">
        <f>SUM(R188:S188)</f>
        <v>19000</v>
      </c>
    </row>
    <row r="189" spans="1:20" x14ac:dyDescent="0.2">
      <c r="C189" s="418" t="s">
        <v>537</v>
      </c>
      <c r="D189" s="424"/>
      <c r="E189" s="424"/>
      <c r="F189" s="424"/>
      <c r="G189" s="438">
        <f>F187+F188</f>
        <v>0</v>
      </c>
      <c r="H189" s="424"/>
      <c r="I189" s="424"/>
      <c r="J189" s="424"/>
      <c r="K189" s="438">
        <f>J187+J188</f>
        <v>2142953</v>
      </c>
      <c r="L189" s="424"/>
      <c r="M189" s="425" t="s">
        <v>272</v>
      </c>
      <c r="N189" s="425">
        <f>F188+F197</f>
        <v>0</v>
      </c>
      <c r="O189" s="425"/>
      <c r="P189" s="425">
        <f>F188</f>
        <v>0</v>
      </c>
      <c r="Q189" s="425"/>
      <c r="R189" s="445">
        <f>SUM(R187:R188)</f>
        <v>2143453</v>
      </c>
      <c r="S189" s="446">
        <f>SUM(S187:S188)</f>
        <v>18750</v>
      </c>
      <c r="T189" s="447">
        <f>SUM(T187:T188)</f>
        <v>2162203</v>
      </c>
    </row>
    <row r="190" spans="1:20" x14ac:dyDescent="0.2">
      <c r="D190" s="424"/>
      <c r="E190" s="424"/>
      <c r="F190" s="424"/>
      <c r="G190" s="424"/>
      <c r="H190" s="424"/>
      <c r="I190" s="424"/>
      <c r="J190" s="424"/>
      <c r="K190" s="424"/>
      <c r="L190" s="424"/>
      <c r="M190" s="425"/>
      <c r="N190" s="425">
        <f>SUM(N188:N189)</f>
        <v>0</v>
      </c>
      <c r="O190" s="425"/>
      <c r="P190" s="425">
        <f>SUM(P188:P189)</f>
        <v>0</v>
      </c>
      <c r="Q190" s="425"/>
      <c r="S190" s="448"/>
      <c r="T190" s="448"/>
    </row>
    <row r="191" spans="1:20" x14ac:dyDescent="0.2">
      <c r="B191" s="449" t="s">
        <v>538</v>
      </c>
      <c r="D191" s="424"/>
      <c r="E191" s="424"/>
      <c r="F191" s="424"/>
      <c r="G191" s="424"/>
      <c r="H191" s="424"/>
      <c r="I191" s="425"/>
      <c r="J191" s="425"/>
      <c r="K191" s="425"/>
      <c r="L191" s="425"/>
      <c r="M191" s="425"/>
      <c r="N191" s="448"/>
      <c r="O191" s="448"/>
      <c r="P191" s="448"/>
      <c r="Q191" s="418"/>
      <c r="R191" s="418"/>
    </row>
    <row r="192" spans="1:20" x14ac:dyDescent="0.2">
      <c r="D192" s="424"/>
      <c r="E192" s="424"/>
      <c r="F192" s="424"/>
      <c r="G192" s="424"/>
      <c r="H192" s="424"/>
      <c r="I192" s="425"/>
      <c r="J192" s="425"/>
      <c r="K192" s="425"/>
      <c r="L192" s="425"/>
      <c r="M192" s="425"/>
      <c r="N192" s="448"/>
      <c r="O192" s="448"/>
      <c r="P192" s="448"/>
      <c r="Q192" s="418"/>
      <c r="R192" s="418"/>
    </row>
    <row r="193" spans="1:18" x14ac:dyDescent="0.2">
      <c r="D193" s="424"/>
      <c r="E193" s="424"/>
      <c r="F193" s="424"/>
      <c r="G193" s="424"/>
      <c r="H193" s="424"/>
      <c r="I193" s="425"/>
      <c r="J193" s="425"/>
      <c r="K193" s="425"/>
      <c r="L193" s="425"/>
      <c r="M193" s="425"/>
      <c r="N193" s="448"/>
      <c r="O193" s="448"/>
      <c r="P193" s="448"/>
      <c r="Q193" s="418"/>
      <c r="R193" s="418"/>
    </row>
    <row r="194" spans="1:18" x14ac:dyDescent="0.2">
      <c r="A194" s="418">
        <v>16</v>
      </c>
      <c r="B194" s="418" t="s">
        <v>535</v>
      </c>
      <c r="D194" s="424"/>
      <c r="E194" s="424"/>
      <c r="F194" s="424">
        <f>G195+G196</f>
        <v>0</v>
      </c>
      <c r="G194" s="424"/>
      <c r="H194" s="424"/>
      <c r="I194" s="425"/>
      <c r="J194" s="425"/>
      <c r="K194" s="425"/>
      <c r="L194" s="425"/>
      <c r="M194" s="425"/>
      <c r="N194" s="448"/>
      <c r="O194" s="448"/>
      <c r="P194" s="448"/>
      <c r="Q194" s="418"/>
      <c r="R194" s="418"/>
    </row>
    <row r="195" spans="1:18" x14ac:dyDescent="0.2">
      <c r="B195" s="418" t="s">
        <v>655</v>
      </c>
      <c r="D195" s="424"/>
      <c r="E195" s="424"/>
      <c r="F195" s="424"/>
      <c r="G195" s="424"/>
      <c r="H195" s="424"/>
      <c r="I195" s="425"/>
      <c r="J195" s="425"/>
      <c r="K195" s="425"/>
      <c r="L195" s="425"/>
      <c r="M195" s="425"/>
      <c r="N195" s="448"/>
      <c r="O195" s="448"/>
      <c r="P195" s="448"/>
      <c r="Q195" s="418"/>
      <c r="R195" s="418"/>
    </row>
    <row r="196" spans="1:18" x14ac:dyDescent="0.2">
      <c r="B196" s="418" t="s">
        <v>541</v>
      </c>
      <c r="D196" s="424"/>
      <c r="E196" s="424"/>
      <c r="F196" s="424"/>
      <c r="G196" s="424"/>
      <c r="H196" s="424"/>
      <c r="I196" s="425"/>
      <c r="J196" s="425"/>
      <c r="K196" s="425"/>
      <c r="L196" s="425"/>
      <c r="M196" s="425"/>
      <c r="N196" s="448"/>
      <c r="O196" s="448"/>
      <c r="P196" s="448"/>
      <c r="Q196" s="418"/>
      <c r="R196" s="418"/>
    </row>
    <row r="197" spans="1:18" x14ac:dyDescent="0.2">
      <c r="B197" s="418" t="s">
        <v>20</v>
      </c>
      <c r="D197" s="424"/>
      <c r="E197" s="424"/>
      <c r="F197" s="424"/>
      <c r="G197" s="424"/>
      <c r="H197" s="424"/>
      <c r="I197" s="425">
        <f>F181+F194-G182</f>
        <v>0</v>
      </c>
      <c r="J197" s="425"/>
      <c r="K197" s="425">
        <f>G195+'Conso P adjs'!L108</f>
        <v>0</v>
      </c>
      <c r="L197" s="425"/>
      <c r="M197" s="425"/>
      <c r="N197" s="448"/>
      <c r="O197" s="448"/>
      <c r="P197" s="448"/>
      <c r="Q197" s="418"/>
      <c r="R197" s="418"/>
    </row>
    <row r="198" spans="1:18" x14ac:dyDescent="0.2">
      <c r="B198" s="418" t="s">
        <v>13</v>
      </c>
      <c r="D198" s="424"/>
      <c r="E198" s="424"/>
      <c r="F198" s="424"/>
      <c r="G198" s="424"/>
      <c r="H198" s="424"/>
      <c r="I198" s="425"/>
      <c r="J198" s="425"/>
      <c r="K198" s="425"/>
      <c r="L198" s="425"/>
      <c r="M198" s="425"/>
      <c r="N198" s="448"/>
      <c r="O198" s="448"/>
      <c r="P198" s="448"/>
      <c r="Q198" s="418"/>
      <c r="R198" s="418"/>
    </row>
    <row r="199" spans="1:18" x14ac:dyDescent="0.2">
      <c r="C199" s="418" t="s">
        <v>537</v>
      </c>
      <c r="D199" s="424"/>
      <c r="E199" s="424"/>
      <c r="F199" s="424"/>
      <c r="G199" s="424"/>
      <c r="H199" s="424"/>
      <c r="I199" s="425">
        <f>G189+G199</f>
        <v>0</v>
      </c>
      <c r="J199" s="425"/>
      <c r="K199" s="425"/>
      <c r="L199" s="425"/>
      <c r="M199" s="425"/>
      <c r="N199" s="448"/>
      <c r="O199" s="448"/>
      <c r="P199" s="448"/>
      <c r="Q199" s="418"/>
      <c r="R199" s="418"/>
    </row>
    <row r="200" spans="1:18" x14ac:dyDescent="0.2">
      <c r="D200" s="424"/>
      <c r="E200" s="424"/>
      <c r="F200" s="424"/>
      <c r="G200" s="424"/>
      <c r="H200" s="424"/>
      <c r="I200" s="425"/>
      <c r="J200" s="425"/>
      <c r="K200" s="425"/>
      <c r="L200" s="425"/>
      <c r="M200" s="425"/>
      <c r="N200" s="448"/>
      <c r="O200" s="448"/>
      <c r="P200" s="448"/>
      <c r="Q200" s="418"/>
      <c r="R200" s="418"/>
    </row>
    <row r="201" spans="1:18" x14ac:dyDescent="0.2">
      <c r="B201" s="449" t="s">
        <v>539</v>
      </c>
      <c r="D201" s="424"/>
      <c r="E201" s="424"/>
      <c r="F201" s="424"/>
      <c r="G201" s="424"/>
      <c r="H201" s="424"/>
      <c r="I201" s="425"/>
      <c r="J201" s="425"/>
      <c r="K201" s="425"/>
      <c r="L201" s="425"/>
      <c r="M201" s="425"/>
      <c r="N201" s="448"/>
      <c r="O201" s="448"/>
      <c r="P201" s="448"/>
      <c r="Q201" s="418"/>
      <c r="R201" s="418"/>
    </row>
    <row r="202" spans="1:18" x14ac:dyDescent="0.2">
      <c r="D202" s="424"/>
      <c r="E202" s="424"/>
      <c r="F202" s="424"/>
      <c r="G202" s="424"/>
      <c r="H202" s="424"/>
      <c r="I202" s="425"/>
      <c r="J202" s="425"/>
      <c r="K202" s="425"/>
      <c r="L202" s="425"/>
      <c r="M202" s="425"/>
      <c r="N202" s="425"/>
      <c r="Q202" s="418"/>
      <c r="R202" s="418"/>
    </row>
    <row r="203" spans="1:18" x14ac:dyDescent="0.2">
      <c r="D203" s="424"/>
      <c r="E203" s="424"/>
      <c r="F203" s="424"/>
      <c r="G203" s="424"/>
      <c r="H203" s="424"/>
      <c r="I203" s="425"/>
      <c r="J203" s="425"/>
      <c r="K203" s="425"/>
      <c r="L203" s="425"/>
      <c r="M203" s="425"/>
      <c r="N203" s="425"/>
      <c r="Q203" s="418"/>
      <c r="R203" s="418"/>
    </row>
    <row r="204" spans="1:18" x14ac:dyDescent="0.2">
      <c r="A204" s="418">
        <v>17</v>
      </c>
      <c r="B204" s="418" t="s">
        <v>647</v>
      </c>
      <c r="D204" s="424"/>
      <c r="E204" s="424"/>
      <c r="F204" s="424"/>
      <c r="G204" s="424"/>
      <c r="H204" s="424"/>
      <c r="I204" s="425"/>
      <c r="J204" s="425"/>
      <c r="K204" s="425"/>
      <c r="L204" s="425"/>
      <c r="M204" s="425"/>
      <c r="N204" s="425"/>
      <c r="Q204" s="418"/>
      <c r="R204" s="418"/>
    </row>
    <row r="205" spans="1:18" x14ac:dyDescent="0.2">
      <c r="C205" s="418" t="s">
        <v>648</v>
      </c>
      <c r="D205" s="424"/>
      <c r="E205" s="424"/>
      <c r="F205" s="424"/>
      <c r="G205" s="424"/>
      <c r="H205" s="424"/>
      <c r="I205" s="425"/>
      <c r="J205" s="425"/>
      <c r="K205" s="425"/>
      <c r="L205" s="425"/>
      <c r="M205" s="425"/>
      <c r="N205" s="425"/>
      <c r="Q205" s="418"/>
      <c r="R205" s="418"/>
    </row>
    <row r="206" spans="1:18" x14ac:dyDescent="0.2">
      <c r="D206" s="424"/>
      <c r="E206" s="424"/>
      <c r="F206" s="424"/>
      <c r="G206" s="424"/>
      <c r="H206" s="424"/>
      <c r="I206" s="425"/>
      <c r="J206" s="425"/>
      <c r="K206" s="425"/>
      <c r="L206" s="425"/>
      <c r="M206" s="425"/>
      <c r="N206" s="425"/>
      <c r="Q206" s="418"/>
      <c r="R206" s="418"/>
    </row>
    <row r="207" spans="1:18" x14ac:dyDescent="0.2">
      <c r="B207" s="419" t="s">
        <v>649</v>
      </c>
      <c r="D207" s="424"/>
      <c r="E207" s="424"/>
      <c r="F207" s="424"/>
      <c r="G207" s="424"/>
      <c r="H207" s="424"/>
      <c r="I207" s="425"/>
      <c r="J207" s="425"/>
      <c r="K207" s="425"/>
      <c r="L207" s="425"/>
      <c r="M207" s="425"/>
      <c r="N207" s="425"/>
      <c r="Q207" s="418"/>
      <c r="R207" s="418"/>
    </row>
    <row r="208" spans="1:18" x14ac:dyDescent="0.2">
      <c r="D208" s="424"/>
      <c r="E208" s="424"/>
      <c r="F208" s="424"/>
      <c r="G208" s="424"/>
      <c r="H208" s="424"/>
      <c r="I208" s="425"/>
      <c r="J208" s="425"/>
      <c r="K208" s="425"/>
      <c r="L208" s="425"/>
      <c r="M208" s="425"/>
      <c r="N208" s="425"/>
      <c r="Q208" s="418"/>
      <c r="R208" s="418"/>
    </row>
    <row r="209" spans="1:18" x14ac:dyDescent="0.2">
      <c r="D209" s="424"/>
      <c r="E209" s="424"/>
      <c r="F209" s="424"/>
      <c r="G209" s="424"/>
      <c r="H209" s="424"/>
      <c r="I209" s="425"/>
      <c r="J209" s="425"/>
      <c r="K209" s="425"/>
      <c r="L209" s="425"/>
      <c r="M209" s="425"/>
      <c r="N209" s="425"/>
      <c r="Q209" s="418"/>
      <c r="R209" s="418"/>
    </row>
    <row r="210" spans="1:18" x14ac:dyDescent="0.2">
      <c r="A210" s="432">
        <v>18</v>
      </c>
      <c r="B210" s="418" t="s">
        <v>640</v>
      </c>
      <c r="D210" s="438">
        <f>E212+E213</f>
        <v>1800000</v>
      </c>
      <c r="E210" s="424"/>
      <c r="F210" s="424"/>
      <c r="G210" s="424"/>
      <c r="H210" s="424" t="s">
        <v>412</v>
      </c>
      <c r="I210" s="425"/>
      <c r="J210" s="425"/>
      <c r="K210" s="425"/>
      <c r="L210" s="425"/>
      <c r="M210" s="425"/>
      <c r="N210" s="425"/>
      <c r="Q210" s="418"/>
      <c r="R210" s="418"/>
    </row>
    <row r="211" spans="1:18" x14ac:dyDescent="0.2">
      <c r="C211" s="418" t="s">
        <v>641</v>
      </c>
      <c r="D211" s="424"/>
      <c r="E211" s="424"/>
      <c r="F211" s="424"/>
      <c r="G211" s="424"/>
      <c r="H211" s="424"/>
      <c r="I211" s="425"/>
      <c r="J211" s="425"/>
      <c r="K211" s="425"/>
      <c r="L211" s="425"/>
      <c r="M211" s="425"/>
      <c r="N211" s="425"/>
      <c r="Q211" s="418"/>
      <c r="R211" s="418"/>
    </row>
    <row r="212" spans="1:18" x14ac:dyDescent="0.2">
      <c r="C212" s="418" t="s">
        <v>1035</v>
      </c>
      <c r="D212" s="424"/>
      <c r="E212" s="438">
        <f>(100000+100000+100000)+(100000+100000+60000)+(60000+60000+60000)+(40000+40000+40000+40000+100000+100000+100000)</f>
        <v>1200000</v>
      </c>
      <c r="F212" s="424"/>
      <c r="G212" s="424"/>
      <c r="H212" s="424" t="s">
        <v>412</v>
      </c>
      <c r="I212" s="425"/>
      <c r="J212" s="425"/>
      <c r="K212" s="425"/>
      <c r="L212" s="425"/>
      <c r="M212" s="425"/>
      <c r="N212" s="425"/>
      <c r="Q212" s="418"/>
      <c r="R212" s="418"/>
    </row>
    <row r="213" spans="1:18" x14ac:dyDescent="0.2">
      <c r="C213" s="418" t="s">
        <v>642</v>
      </c>
      <c r="D213" s="424"/>
      <c r="E213" s="438">
        <f>(150000+150000+150000+150000)</f>
        <v>600000</v>
      </c>
      <c r="F213" s="424"/>
      <c r="G213" s="424"/>
      <c r="H213" s="424" t="s">
        <v>412</v>
      </c>
      <c r="I213" s="425"/>
      <c r="J213" s="425"/>
      <c r="K213" s="425"/>
      <c r="L213" s="425"/>
      <c r="M213" s="425"/>
      <c r="N213" s="425"/>
      <c r="Q213" s="418"/>
      <c r="R213" s="418"/>
    </row>
    <row r="214" spans="1:18" x14ac:dyDescent="0.2">
      <c r="D214" s="424"/>
      <c r="E214" s="424"/>
      <c r="F214" s="424"/>
      <c r="G214" s="424"/>
      <c r="H214" s="424"/>
      <c r="I214" s="425"/>
      <c r="J214" s="425">
        <v>4513120</v>
      </c>
      <c r="K214" s="425"/>
      <c r="L214" s="425"/>
      <c r="M214" s="425"/>
      <c r="N214" s="450" t="s">
        <v>144</v>
      </c>
      <c r="O214" s="450" t="s">
        <v>398</v>
      </c>
      <c r="Q214" s="418"/>
      <c r="R214" s="418"/>
    </row>
    <row r="215" spans="1:18" x14ac:dyDescent="0.2">
      <c r="B215" s="418" t="s">
        <v>643</v>
      </c>
      <c r="D215" s="424"/>
      <c r="E215" s="424"/>
      <c r="F215" s="424"/>
      <c r="G215" s="424"/>
      <c r="H215" s="424"/>
      <c r="I215" s="425"/>
      <c r="J215" s="451" t="s">
        <v>744</v>
      </c>
      <c r="N215" s="452">
        <v>0.7</v>
      </c>
      <c r="O215" s="452">
        <v>0.3</v>
      </c>
      <c r="Q215" s="418"/>
      <c r="R215" s="418"/>
    </row>
    <row r="216" spans="1:18" x14ac:dyDescent="0.2">
      <c r="D216" s="424"/>
      <c r="E216" s="424"/>
      <c r="F216" s="424"/>
      <c r="G216" s="424"/>
      <c r="H216" s="424"/>
      <c r="I216" s="425"/>
      <c r="J216" s="425" t="s">
        <v>685</v>
      </c>
      <c r="K216" s="425"/>
      <c r="L216" s="425"/>
      <c r="M216" s="425">
        <f>43601165+4513120</f>
        <v>48114285</v>
      </c>
      <c r="N216" s="425">
        <f>M216*N215</f>
        <v>33679999.5</v>
      </c>
      <c r="O216" s="425">
        <f>M216*O215</f>
        <v>14434285.5</v>
      </c>
      <c r="Q216" s="418"/>
      <c r="R216" s="418"/>
    </row>
    <row r="217" spans="1:18" x14ac:dyDescent="0.2">
      <c r="A217" s="432">
        <v>19</v>
      </c>
      <c r="B217" s="418" t="s">
        <v>644</v>
      </c>
      <c r="D217" s="438">
        <v>1440000</v>
      </c>
      <c r="E217" s="424"/>
      <c r="F217" s="424"/>
      <c r="G217" s="424"/>
      <c r="H217" s="424" t="s">
        <v>412</v>
      </c>
      <c r="I217" s="425"/>
      <c r="J217" s="425" t="s">
        <v>684</v>
      </c>
      <c r="K217" s="453"/>
      <c r="L217" s="425"/>
      <c r="M217" s="453">
        <v>0.03</v>
      </c>
      <c r="N217" s="454">
        <v>0.03</v>
      </c>
      <c r="O217" s="454">
        <v>0.03</v>
      </c>
      <c r="Q217" s="418"/>
      <c r="R217" s="418"/>
    </row>
    <row r="218" spans="1:18" x14ac:dyDescent="0.2">
      <c r="C218" s="418" t="s">
        <v>645</v>
      </c>
      <c r="D218" s="424"/>
      <c r="E218" s="424"/>
      <c r="F218" s="424"/>
      <c r="G218" s="424"/>
      <c r="H218" s="424"/>
      <c r="I218" s="425"/>
      <c r="J218" s="425" t="s">
        <v>736</v>
      </c>
      <c r="K218" s="425"/>
      <c r="L218" s="425"/>
      <c r="M218" s="454">
        <v>0.86809999999999998</v>
      </c>
      <c r="N218" s="454">
        <f>M218</f>
        <v>0.86809999999999998</v>
      </c>
      <c r="O218" s="454">
        <f>M218</f>
        <v>0.86809999999999998</v>
      </c>
      <c r="Q218" s="418"/>
      <c r="R218" s="418"/>
    </row>
    <row r="219" spans="1:18" x14ac:dyDescent="0.2">
      <c r="C219" s="418" t="s">
        <v>683</v>
      </c>
      <c r="D219" s="424"/>
      <c r="E219" s="438">
        <f>D217</f>
        <v>1440000</v>
      </c>
      <c r="F219" s="424"/>
      <c r="G219" s="424"/>
      <c r="H219" s="424" t="s">
        <v>412</v>
      </c>
      <c r="I219" s="425"/>
      <c r="J219" s="425" t="s">
        <v>737</v>
      </c>
      <c r="K219" s="425"/>
      <c r="L219" s="425"/>
      <c r="M219" s="454">
        <v>0.87829999999999997</v>
      </c>
      <c r="N219" s="454">
        <f>M219</f>
        <v>0.87829999999999997</v>
      </c>
      <c r="O219" s="454">
        <f>M219</f>
        <v>0.87829999999999997</v>
      </c>
      <c r="Q219" s="418"/>
      <c r="R219" s="418"/>
    </row>
    <row r="220" spans="1:18" x14ac:dyDescent="0.2">
      <c r="D220" s="424"/>
      <c r="E220" s="424"/>
      <c r="F220" s="424"/>
      <c r="G220" s="424"/>
      <c r="H220" s="424"/>
      <c r="I220" s="425"/>
      <c r="J220" s="425"/>
      <c r="K220" s="425"/>
      <c r="L220" s="425"/>
      <c r="M220" s="455"/>
      <c r="N220" s="425"/>
      <c r="O220" s="425"/>
      <c r="Q220" s="418"/>
      <c r="R220" s="418"/>
    </row>
    <row r="221" spans="1:18" x14ac:dyDescent="0.2">
      <c r="B221" s="418" t="s">
        <v>646</v>
      </c>
      <c r="D221" s="424"/>
      <c r="E221" s="424"/>
      <c r="F221" s="424"/>
      <c r="G221" s="424"/>
      <c r="H221" s="424"/>
      <c r="I221" s="425"/>
      <c r="J221" s="425" t="s">
        <v>686</v>
      </c>
      <c r="K221" s="425"/>
      <c r="L221" s="425"/>
      <c r="M221" s="456">
        <f>M216*M217*M218*M219</f>
        <v>1100545.3167931666</v>
      </c>
      <c r="N221" s="457">
        <f>N216*N217*N218*N219</f>
        <v>770381.7217552166</v>
      </c>
      <c r="O221" s="457">
        <f>O216*O217*O218*O219</f>
        <v>330163.59503794997</v>
      </c>
      <c r="Q221" s="418"/>
      <c r="R221" s="418"/>
    </row>
    <row r="222" spans="1:18" x14ac:dyDescent="0.2">
      <c r="D222" s="424"/>
      <c r="E222" s="424"/>
      <c r="F222" s="424"/>
      <c r="J222" s="425"/>
      <c r="K222" s="425"/>
      <c r="L222" s="425"/>
      <c r="M222" s="425"/>
      <c r="N222" s="425"/>
      <c r="O222" s="425"/>
      <c r="P222" s="425"/>
      <c r="Q222" s="425"/>
      <c r="R222" s="418"/>
    </row>
    <row r="223" spans="1:18" x14ac:dyDescent="0.2">
      <c r="D223" s="424"/>
      <c r="E223" s="424"/>
      <c r="F223" s="424"/>
      <c r="K223" s="458"/>
      <c r="L223" s="458"/>
      <c r="M223" s="425"/>
      <c r="N223" s="450" t="s">
        <v>144</v>
      </c>
      <c r="O223" s="450" t="s">
        <v>398</v>
      </c>
      <c r="P223" s="425"/>
      <c r="Q223" s="425"/>
      <c r="R223" s="418"/>
    </row>
    <row r="224" spans="1:18" x14ac:dyDescent="0.2">
      <c r="A224" s="432">
        <v>20</v>
      </c>
      <c r="B224" s="418" t="s">
        <v>871</v>
      </c>
      <c r="D224" s="438">
        <f>N279</f>
        <v>327532.61980958004</v>
      </c>
      <c r="E224" s="424"/>
      <c r="F224" s="424"/>
      <c r="H224" s="419" t="s">
        <v>412</v>
      </c>
      <c r="J224" s="451" t="s">
        <v>745</v>
      </c>
      <c r="K224" s="458"/>
      <c r="L224" s="458"/>
      <c r="N224" s="452">
        <v>0.7</v>
      </c>
      <c r="O224" s="452">
        <v>0.3</v>
      </c>
      <c r="P224" s="425"/>
      <c r="Q224" s="425"/>
      <c r="R224" s="418"/>
    </row>
    <row r="225" spans="1:18" x14ac:dyDescent="0.2">
      <c r="B225" s="418" t="s">
        <v>870</v>
      </c>
      <c r="D225" s="438">
        <f>O279</f>
        <v>140371.12277553417</v>
      </c>
      <c r="E225" s="424"/>
      <c r="F225" s="424"/>
      <c r="H225" s="419" t="s">
        <v>412</v>
      </c>
      <c r="J225" s="425" t="s">
        <v>685</v>
      </c>
      <c r="K225" s="458"/>
      <c r="L225" s="458"/>
      <c r="M225" s="425">
        <f>43601165+4513120</f>
        <v>48114285</v>
      </c>
      <c r="N225" s="425">
        <f>M225*N224</f>
        <v>33679999.5</v>
      </c>
      <c r="O225" s="425">
        <f>M225*O224</f>
        <v>14434285.5</v>
      </c>
      <c r="P225" s="425"/>
      <c r="Q225" s="425"/>
      <c r="R225" s="418"/>
    </row>
    <row r="226" spans="1:18" x14ac:dyDescent="0.2">
      <c r="C226" s="418" t="s">
        <v>859</v>
      </c>
      <c r="D226" s="424"/>
      <c r="E226" s="438">
        <f>SUM(D224:D225)</f>
        <v>467903.7425851142</v>
      </c>
      <c r="F226" s="424"/>
      <c r="H226" s="419" t="s">
        <v>412</v>
      </c>
      <c r="J226" s="425" t="s">
        <v>684</v>
      </c>
      <c r="K226" s="425"/>
      <c r="L226" s="425"/>
      <c r="M226" s="453">
        <v>0.11</v>
      </c>
      <c r="N226" s="454">
        <f>M226</f>
        <v>0.11</v>
      </c>
      <c r="O226" s="454">
        <f>M226</f>
        <v>0.11</v>
      </c>
      <c r="P226" s="425"/>
      <c r="Q226" s="425"/>
      <c r="R226" s="418"/>
    </row>
    <row r="227" spans="1:18" x14ac:dyDescent="0.2">
      <c r="J227" s="425" t="s">
        <v>738</v>
      </c>
      <c r="K227" s="425"/>
      <c r="L227" s="425"/>
      <c r="M227" s="454">
        <v>0.81389999999999996</v>
      </c>
      <c r="N227" s="454">
        <f>M227</f>
        <v>0.81389999999999996</v>
      </c>
      <c r="O227" s="454">
        <f>M227</f>
        <v>0.81389999999999996</v>
      </c>
      <c r="P227" s="458"/>
      <c r="Q227" s="458"/>
      <c r="R227" s="459"/>
    </row>
    <row r="228" spans="1:18" x14ac:dyDescent="0.2">
      <c r="B228" s="418" t="s">
        <v>1082</v>
      </c>
      <c r="D228" s="438">
        <v>140371</v>
      </c>
      <c r="E228" s="424"/>
      <c r="F228" s="424"/>
      <c r="H228" s="419" t="s">
        <v>412</v>
      </c>
      <c r="J228" s="425" t="s">
        <v>739</v>
      </c>
      <c r="K228" s="425"/>
      <c r="L228" s="425"/>
      <c r="M228" s="454">
        <v>0.1132</v>
      </c>
      <c r="N228" s="454">
        <f>M228</f>
        <v>0.1132</v>
      </c>
      <c r="O228" s="454">
        <f>M228</f>
        <v>0.1132</v>
      </c>
      <c r="P228" s="460"/>
      <c r="Q228" s="460"/>
      <c r="R228" s="460"/>
    </row>
    <row r="229" spans="1:18" x14ac:dyDescent="0.2">
      <c r="C229" s="418" t="s">
        <v>349</v>
      </c>
      <c r="D229" s="424"/>
      <c r="E229" s="438">
        <v>140371</v>
      </c>
      <c r="F229" s="424"/>
      <c r="H229" s="419" t="s">
        <v>412</v>
      </c>
      <c r="K229" s="425"/>
      <c r="L229" s="425"/>
      <c r="M229" s="425"/>
      <c r="N229" s="425"/>
      <c r="O229" s="425"/>
      <c r="P229" s="458"/>
      <c r="Q229" s="458"/>
      <c r="R229" s="459"/>
    </row>
    <row r="230" spans="1:18" x14ac:dyDescent="0.2">
      <c r="J230" s="425"/>
      <c r="K230" s="425"/>
      <c r="L230" s="425"/>
      <c r="M230" s="456">
        <f>M225*M226*M227*M228</f>
        <v>487623.01662379788</v>
      </c>
      <c r="N230" s="456">
        <f>N225*N226*N227*N228</f>
        <v>341336.11163665855</v>
      </c>
      <c r="O230" s="456">
        <f>O225*O226*O227*O228</f>
        <v>146286.90498713939</v>
      </c>
      <c r="P230" s="458"/>
      <c r="Q230" s="458"/>
      <c r="R230" s="459"/>
    </row>
    <row r="231" spans="1:18" x14ac:dyDescent="0.2">
      <c r="D231" s="424"/>
      <c r="E231" s="424"/>
      <c r="F231" s="424"/>
      <c r="J231" s="425"/>
      <c r="K231" s="425"/>
      <c r="L231" s="425"/>
      <c r="M231" s="425"/>
      <c r="N231" s="425"/>
      <c r="O231" s="425"/>
      <c r="P231" s="458"/>
      <c r="Q231" s="458"/>
      <c r="R231" s="459"/>
    </row>
    <row r="232" spans="1:18" x14ac:dyDescent="0.2">
      <c r="B232" s="418" t="s">
        <v>795</v>
      </c>
      <c r="D232" s="424"/>
      <c r="E232" s="424"/>
      <c r="F232" s="424"/>
      <c r="J232" s="425"/>
      <c r="K232" s="425" t="s">
        <v>867</v>
      </c>
      <c r="L232" s="425"/>
      <c r="M232" s="425">
        <f>M221+M230</f>
        <v>1588168.3334169644</v>
      </c>
      <c r="N232" s="461">
        <f>N221+N230</f>
        <v>1111717.833391875</v>
      </c>
      <c r="O232" s="461">
        <f>O221+O230</f>
        <v>476450.50002508936</v>
      </c>
      <c r="P232" s="425"/>
      <c r="Q232" s="425"/>
      <c r="R232" s="418"/>
    </row>
    <row r="233" spans="1:18" x14ac:dyDescent="0.2">
      <c r="D233" s="424"/>
      <c r="E233" s="424"/>
      <c r="F233" s="424"/>
      <c r="J233" s="425">
        <v>4513120</v>
      </c>
      <c r="P233" s="425"/>
      <c r="Q233" s="425"/>
      <c r="R233" s="418"/>
    </row>
    <row r="234" spans="1:18" x14ac:dyDescent="0.2">
      <c r="D234" s="424"/>
      <c r="E234" s="424"/>
      <c r="F234" s="424"/>
      <c r="K234" s="425"/>
      <c r="L234" s="425"/>
      <c r="M234" s="425"/>
      <c r="N234" s="450" t="s">
        <v>144</v>
      </c>
      <c r="O234" s="450" t="s">
        <v>398</v>
      </c>
      <c r="P234" s="425"/>
      <c r="Q234" s="425"/>
      <c r="R234" s="418"/>
    </row>
    <row r="235" spans="1:18" x14ac:dyDescent="0.2">
      <c r="A235" s="418">
        <v>21</v>
      </c>
      <c r="B235" s="418" t="s">
        <v>537</v>
      </c>
      <c r="D235" s="424"/>
      <c r="E235" s="424"/>
      <c r="F235" s="424"/>
      <c r="J235" s="451" t="s">
        <v>744</v>
      </c>
      <c r="N235" s="452">
        <v>0.7</v>
      </c>
      <c r="O235" s="452">
        <v>0.3</v>
      </c>
      <c r="P235" s="425"/>
      <c r="Q235" s="425"/>
      <c r="R235" s="418"/>
    </row>
    <row r="236" spans="1:18" x14ac:dyDescent="0.2">
      <c r="C236" s="418" t="s">
        <v>535</v>
      </c>
      <c r="D236" s="424"/>
      <c r="E236" s="424"/>
      <c r="F236" s="424"/>
      <c r="G236" s="424"/>
      <c r="J236" s="425" t="s">
        <v>685</v>
      </c>
      <c r="K236" s="425"/>
      <c r="L236" s="425"/>
      <c r="M236" s="425">
        <f>43601165+4513120</f>
        <v>48114285</v>
      </c>
      <c r="N236" s="425">
        <f>M236*N235</f>
        <v>33679999.5</v>
      </c>
      <c r="O236" s="425">
        <f>M236*O235</f>
        <v>14434285.5</v>
      </c>
      <c r="P236" s="425"/>
      <c r="Q236" s="425"/>
      <c r="R236" s="418"/>
    </row>
    <row r="237" spans="1:18" x14ac:dyDescent="0.2">
      <c r="B237" s="418" t="s">
        <v>697</v>
      </c>
      <c r="D237" s="424"/>
      <c r="E237" s="424"/>
      <c r="F237" s="424"/>
      <c r="G237" s="424"/>
      <c r="J237" s="425" t="s">
        <v>684</v>
      </c>
      <c r="K237" s="453"/>
      <c r="L237" s="425"/>
      <c r="M237" s="453">
        <v>0.03</v>
      </c>
      <c r="N237" s="454">
        <v>0.03</v>
      </c>
      <c r="O237" s="454">
        <v>0.03</v>
      </c>
      <c r="P237" s="425"/>
      <c r="Q237" s="425"/>
      <c r="R237" s="418"/>
    </row>
    <row r="238" spans="1:18" x14ac:dyDescent="0.2">
      <c r="B238" s="418" t="s">
        <v>698</v>
      </c>
      <c r="D238" s="424"/>
      <c r="E238" s="424"/>
      <c r="F238" s="424"/>
      <c r="G238" s="424"/>
      <c r="J238" s="425" t="s">
        <v>930</v>
      </c>
      <c r="K238" s="425"/>
      <c r="L238" s="425"/>
      <c r="M238" s="454">
        <v>1</v>
      </c>
      <c r="N238" s="454">
        <f>M238</f>
        <v>1</v>
      </c>
      <c r="O238" s="454">
        <f>M238</f>
        <v>1</v>
      </c>
      <c r="P238" s="425"/>
      <c r="Q238" s="425"/>
      <c r="R238" s="418"/>
    </row>
    <row r="239" spans="1:18" x14ac:dyDescent="0.2">
      <c r="B239" s="418" t="s">
        <v>699</v>
      </c>
      <c r="D239" s="424"/>
      <c r="E239" s="424"/>
      <c r="F239" s="424">
        <f>G236-F235-F237-F238</f>
        <v>0</v>
      </c>
      <c r="G239" s="424"/>
      <c r="J239" s="425" t="s">
        <v>928</v>
      </c>
      <c r="K239" s="425"/>
      <c r="L239" s="425"/>
      <c r="M239" s="454">
        <v>1</v>
      </c>
      <c r="N239" s="454">
        <f>M239</f>
        <v>1</v>
      </c>
      <c r="O239" s="454">
        <f>M239</f>
        <v>1</v>
      </c>
      <c r="P239" s="425"/>
      <c r="Q239" s="425"/>
      <c r="R239" s="418"/>
    </row>
    <row r="240" spans="1:18" x14ac:dyDescent="0.2">
      <c r="D240" s="424"/>
      <c r="E240" s="424"/>
      <c r="F240" s="424"/>
      <c r="J240" s="425"/>
      <c r="K240" s="425"/>
      <c r="L240" s="425"/>
      <c r="M240" s="455"/>
      <c r="N240" s="425"/>
      <c r="O240" s="425"/>
      <c r="P240" s="425"/>
      <c r="Q240" s="425"/>
      <c r="R240" s="418"/>
    </row>
    <row r="241" spans="1:18" x14ac:dyDescent="0.2">
      <c r="D241" s="424"/>
      <c r="E241" s="424"/>
      <c r="F241" s="424"/>
      <c r="J241" s="425" t="s">
        <v>686</v>
      </c>
      <c r="K241" s="425"/>
      <c r="L241" s="425"/>
      <c r="M241" s="456">
        <f>M236*M237*M238*M239</f>
        <v>1443428.55</v>
      </c>
      <c r="N241" s="457">
        <f>N236*N237*N238*N239</f>
        <v>1010399.985</v>
      </c>
      <c r="O241" s="457">
        <f>O236*O237*O238*O239</f>
        <v>433028.565</v>
      </c>
      <c r="P241" s="425"/>
      <c r="Q241" s="425"/>
      <c r="R241" s="418"/>
    </row>
    <row r="242" spans="1:18" x14ac:dyDescent="0.2">
      <c r="B242" s="418" t="s">
        <v>695</v>
      </c>
      <c r="D242" s="424"/>
      <c r="E242" s="424"/>
      <c r="F242" s="424"/>
      <c r="J242" s="425"/>
      <c r="K242" s="425"/>
      <c r="L242" s="425"/>
      <c r="M242" s="425"/>
      <c r="N242" s="425"/>
      <c r="O242" s="425"/>
      <c r="P242" s="425"/>
      <c r="Q242" s="425"/>
      <c r="R242" s="418"/>
    </row>
    <row r="243" spans="1:18" x14ac:dyDescent="0.2">
      <c r="D243" s="424"/>
      <c r="E243" s="424"/>
      <c r="F243" s="424"/>
      <c r="K243" s="458"/>
      <c r="L243" s="458"/>
      <c r="M243" s="425"/>
      <c r="N243" s="450" t="s">
        <v>144</v>
      </c>
      <c r="O243" s="450" t="s">
        <v>398</v>
      </c>
      <c r="Q243" s="418"/>
      <c r="R243" s="418"/>
    </row>
    <row r="244" spans="1:18" x14ac:dyDescent="0.2">
      <c r="D244" s="424"/>
      <c r="E244" s="424"/>
      <c r="F244" s="424"/>
      <c r="J244" s="451" t="s">
        <v>745</v>
      </c>
      <c r="K244" s="458"/>
      <c r="L244" s="458"/>
      <c r="N244" s="452">
        <v>0.7</v>
      </c>
      <c r="O244" s="452">
        <v>0.3</v>
      </c>
      <c r="Q244" s="418"/>
      <c r="R244" s="418"/>
    </row>
    <row r="245" spans="1:18" x14ac:dyDescent="0.2">
      <c r="A245" s="418">
        <v>22</v>
      </c>
      <c r="B245" s="418" t="s">
        <v>793</v>
      </c>
      <c r="D245" s="424"/>
      <c r="E245" s="424"/>
      <c r="F245" s="424"/>
      <c r="H245" s="424"/>
      <c r="I245" s="425"/>
      <c r="J245" s="425" t="s">
        <v>685</v>
      </c>
      <c r="K245" s="458"/>
      <c r="L245" s="458"/>
      <c r="M245" s="425">
        <f>43601165+4513120</f>
        <v>48114285</v>
      </c>
      <c r="N245" s="425">
        <f>M245*N244</f>
        <v>33679999.5</v>
      </c>
      <c r="O245" s="425">
        <f>M245*O244</f>
        <v>14434285.5</v>
      </c>
      <c r="Q245" s="418"/>
      <c r="R245" s="418"/>
    </row>
    <row r="246" spans="1:18" x14ac:dyDescent="0.2">
      <c r="C246" s="418" t="s">
        <v>792</v>
      </c>
      <c r="D246" s="424"/>
      <c r="E246" s="424"/>
      <c r="F246" s="424"/>
      <c r="G246" s="424"/>
      <c r="H246" s="424"/>
      <c r="I246" s="425"/>
      <c r="J246" s="425" t="s">
        <v>684</v>
      </c>
      <c r="K246" s="425"/>
      <c r="L246" s="425"/>
      <c r="M246" s="453">
        <v>0.11</v>
      </c>
      <c r="N246" s="454">
        <f>M246</f>
        <v>0.11</v>
      </c>
      <c r="O246" s="454">
        <f>M246</f>
        <v>0.11</v>
      </c>
      <c r="Q246" s="418"/>
      <c r="R246" s="418"/>
    </row>
    <row r="247" spans="1:18" x14ac:dyDescent="0.2">
      <c r="D247" s="424"/>
      <c r="E247" s="424"/>
      <c r="F247" s="424"/>
      <c r="H247" s="424"/>
      <c r="I247" s="425"/>
      <c r="J247" s="425" t="s">
        <v>931</v>
      </c>
      <c r="K247" s="425"/>
      <c r="L247" s="425"/>
      <c r="M247" s="454">
        <v>0.98819999999999997</v>
      </c>
      <c r="N247" s="454">
        <f>M247</f>
        <v>0.98819999999999997</v>
      </c>
      <c r="O247" s="454">
        <f>M247</f>
        <v>0.98819999999999997</v>
      </c>
      <c r="Q247" s="418"/>
      <c r="R247" s="418"/>
    </row>
    <row r="248" spans="1:18" x14ac:dyDescent="0.2">
      <c r="B248" s="418" t="s">
        <v>781</v>
      </c>
      <c r="D248" s="424"/>
      <c r="E248" s="424"/>
      <c r="F248" s="424"/>
      <c r="G248" s="424"/>
      <c r="H248" s="424"/>
      <c r="I248" s="425"/>
      <c r="J248" s="425" t="s">
        <v>929</v>
      </c>
      <c r="K248" s="425"/>
      <c r="L248" s="425"/>
      <c r="M248" s="454">
        <v>0.44979999999999998</v>
      </c>
      <c r="N248" s="454">
        <f>M248</f>
        <v>0.44979999999999998</v>
      </c>
      <c r="O248" s="454">
        <f>M248</f>
        <v>0.44979999999999998</v>
      </c>
      <c r="Q248" s="418"/>
      <c r="R248" s="418"/>
    </row>
    <row r="249" spans="1:18" x14ac:dyDescent="0.2">
      <c r="D249" s="424"/>
      <c r="E249" s="424"/>
      <c r="F249" s="424"/>
      <c r="G249" s="424"/>
      <c r="H249" s="424"/>
      <c r="I249" s="425"/>
      <c r="K249" s="425"/>
      <c r="L249" s="425"/>
      <c r="M249" s="425"/>
      <c r="N249" s="425"/>
      <c r="O249" s="425"/>
      <c r="Q249" s="418"/>
      <c r="R249" s="418"/>
    </row>
    <row r="250" spans="1:18" x14ac:dyDescent="0.2">
      <c r="D250" s="424"/>
      <c r="E250" s="424"/>
      <c r="F250" s="424"/>
      <c r="G250" s="424"/>
      <c r="H250" s="424"/>
      <c r="I250" s="425"/>
      <c r="J250" s="425"/>
      <c r="K250" s="425"/>
      <c r="L250" s="425"/>
      <c r="M250" s="456">
        <f>M245*M246*M247*M248</f>
        <v>2352507.5298298858</v>
      </c>
      <c r="N250" s="456">
        <f>N245*N246*N247*N248</f>
        <v>1646755.2708809201</v>
      </c>
      <c r="O250" s="456">
        <f>O245*O246*O247*O248</f>
        <v>705752.25894896581</v>
      </c>
      <c r="Q250" s="418"/>
      <c r="R250" s="418"/>
    </row>
    <row r="251" spans="1:18" x14ac:dyDescent="0.2">
      <c r="A251" s="432">
        <v>23</v>
      </c>
      <c r="B251" s="419" t="s">
        <v>310</v>
      </c>
      <c r="E251" s="462"/>
      <c r="F251" s="463">
        <v>4513120</v>
      </c>
      <c r="G251" s="424"/>
      <c r="H251" s="424" t="s">
        <v>412</v>
      </c>
      <c r="I251" s="425"/>
      <c r="Q251" s="418"/>
      <c r="R251" s="418"/>
    </row>
    <row r="252" spans="1:18" x14ac:dyDescent="0.2">
      <c r="C252" s="419" t="s">
        <v>872</v>
      </c>
      <c r="E252" s="462"/>
      <c r="F252" s="424"/>
      <c r="G252" s="463">
        <v>1359382</v>
      </c>
      <c r="H252" s="424" t="s">
        <v>412</v>
      </c>
      <c r="I252" s="425"/>
      <c r="M252" s="421">
        <f>M241+M250</f>
        <v>3795936.0798298856</v>
      </c>
      <c r="N252" s="421">
        <f>N241+N250</f>
        <v>2657155.2558809202</v>
      </c>
      <c r="O252" s="421">
        <f>O241+O250</f>
        <v>1138780.8239489659</v>
      </c>
      <c r="Q252" s="418"/>
      <c r="R252" s="418"/>
    </row>
    <row r="253" spans="1:18" x14ac:dyDescent="0.2">
      <c r="C253" s="419" t="s">
        <v>873</v>
      </c>
      <c r="D253" s="462"/>
      <c r="F253" s="424"/>
      <c r="G253" s="463">
        <v>3153738</v>
      </c>
      <c r="H253" s="424" t="s">
        <v>412</v>
      </c>
      <c r="I253" s="425"/>
      <c r="J253" s="418" t="s">
        <v>868</v>
      </c>
      <c r="M253" s="464">
        <f>-M232</f>
        <v>-1588168.3334169644</v>
      </c>
      <c r="N253" s="464">
        <f>-N232</f>
        <v>-1111717.833391875</v>
      </c>
      <c r="O253" s="464">
        <f>-O232</f>
        <v>-476450.50002508936</v>
      </c>
      <c r="Q253" s="418"/>
      <c r="R253" s="418"/>
    </row>
    <row r="254" spans="1:18" x14ac:dyDescent="0.2">
      <c r="D254" s="424"/>
      <c r="E254" s="424"/>
      <c r="F254" s="424"/>
      <c r="G254" s="424"/>
      <c r="H254" s="424"/>
      <c r="I254" s="425"/>
      <c r="M254" s="421">
        <f>SUM(M252:M253)</f>
        <v>2207767.7464129212</v>
      </c>
      <c r="N254" s="437">
        <f>SUM(N252:N253)</f>
        <v>1545437.4224890452</v>
      </c>
      <c r="O254" s="437">
        <f>SUM(O252:O253)</f>
        <v>662330.32392387651</v>
      </c>
      <c r="Q254" s="418"/>
      <c r="R254" s="418"/>
    </row>
    <row r="255" spans="1:18" x14ac:dyDescent="0.2">
      <c r="B255" s="418" t="s">
        <v>791</v>
      </c>
      <c r="D255" s="424"/>
      <c r="E255" s="424"/>
      <c r="F255" s="424"/>
      <c r="G255" s="424"/>
      <c r="H255" s="424"/>
      <c r="I255" s="425"/>
      <c r="Q255" s="418"/>
      <c r="R255" s="418"/>
    </row>
    <row r="256" spans="1:18" x14ac:dyDescent="0.2">
      <c r="D256" s="424"/>
      <c r="E256" s="424"/>
      <c r="F256" s="424"/>
      <c r="G256" s="424"/>
      <c r="H256" s="424"/>
      <c r="I256" s="425"/>
      <c r="Q256" s="418"/>
      <c r="R256" s="418"/>
    </row>
    <row r="257" spans="1:18" x14ac:dyDescent="0.2">
      <c r="A257" s="429" t="s">
        <v>824</v>
      </c>
      <c r="B257" s="429"/>
      <c r="D257" s="424"/>
      <c r="E257" s="424"/>
      <c r="F257" s="424"/>
      <c r="G257" s="424"/>
      <c r="H257" s="424"/>
      <c r="I257" s="425"/>
      <c r="J257" s="418" t="s">
        <v>694</v>
      </c>
      <c r="M257" s="421">
        <f>M216-M232-M254</f>
        <v>44318348.920170121</v>
      </c>
      <c r="N257" s="421">
        <f>N216-N221-N230-N254</f>
        <v>31022844.244119078</v>
      </c>
      <c r="O257" s="421">
        <f>O216-O221-O230-O254</f>
        <v>13295504.676051034</v>
      </c>
      <c r="Q257" s="418"/>
      <c r="R257" s="418"/>
    </row>
    <row r="258" spans="1:18" x14ac:dyDescent="0.2">
      <c r="A258" s="418">
        <v>24</v>
      </c>
      <c r="B258" s="418" t="s">
        <v>29</v>
      </c>
      <c r="D258" s="424"/>
      <c r="E258" s="424"/>
      <c r="F258" s="424"/>
      <c r="G258" s="424"/>
      <c r="H258" s="424"/>
      <c r="I258" s="425"/>
      <c r="J258" s="425"/>
      <c r="K258" s="425"/>
      <c r="L258" s="425"/>
      <c r="M258" s="425"/>
      <c r="N258" s="425"/>
      <c r="Q258" s="418"/>
      <c r="R258" s="418"/>
    </row>
    <row r="259" spans="1:18" x14ac:dyDescent="0.2">
      <c r="C259" s="418" t="s">
        <v>30</v>
      </c>
      <c r="D259" s="424"/>
      <c r="E259" s="424"/>
      <c r="F259" s="424"/>
      <c r="G259" s="424"/>
      <c r="H259" s="424"/>
      <c r="I259" s="425"/>
      <c r="K259" s="425"/>
      <c r="L259" s="425"/>
      <c r="M259" s="425"/>
      <c r="N259" s="450" t="s">
        <v>144</v>
      </c>
      <c r="O259" s="450" t="s">
        <v>398</v>
      </c>
      <c r="Q259" s="418"/>
      <c r="R259" s="418"/>
    </row>
    <row r="260" spans="1:18" x14ac:dyDescent="0.2">
      <c r="D260" s="424"/>
      <c r="E260" s="424"/>
      <c r="F260" s="424"/>
      <c r="G260" s="424"/>
      <c r="H260" s="424"/>
      <c r="I260" s="425"/>
      <c r="J260" s="451" t="s">
        <v>744</v>
      </c>
      <c r="N260" s="452">
        <v>0.7</v>
      </c>
      <c r="O260" s="452">
        <v>0.3</v>
      </c>
      <c r="Q260" s="418"/>
      <c r="R260" s="418"/>
    </row>
    <row r="261" spans="1:18" x14ac:dyDescent="0.2">
      <c r="B261" s="418" t="s">
        <v>823</v>
      </c>
      <c r="D261" s="424"/>
      <c r="E261" s="424"/>
      <c r="F261" s="424"/>
      <c r="G261" s="424"/>
      <c r="H261" s="424"/>
      <c r="I261" s="425"/>
      <c r="J261" s="425" t="s">
        <v>685</v>
      </c>
      <c r="K261" s="425"/>
      <c r="L261" s="425"/>
      <c r="M261" s="425">
        <f>43601165+4513120</f>
        <v>48114285</v>
      </c>
      <c r="N261" s="425">
        <f>M261*N260</f>
        <v>33679999.5</v>
      </c>
      <c r="O261" s="425">
        <f>M261*O260</f>
        <v>14434285.5</v>
      </c>
      <c r="Q261" s="418"/>
      <c r="R261" s="418"/>
    </row>
    <row r="262" spans="1:18" x14ac:dyDescent="0.2">
      <c r="D262" s="424"/>
      <c r="E262" s="424"/>
      <c r="F262" s="424"/>
      <c r="G262" s="424"/>
      <c r="H262" s="424"/>
      <c r="I262" s="425"/>
      <c r="J262" s="425" t="s">
        <v>684</v>
      </c>
      <c r="K262" s="453"/>
      <c r="L262" s="425"/>
      <c r="M262" s="453">
        <v>0.03</v>
      </c>
      <c r="N262" s="454">
        <v>0.03</v>
      </c>
      <c r="O262" s="454">
        <v>0.03</v>
      </c>
      <c r="Q262" s="418"/>
      <c r="R262" s="418"/>
    </row>
    <row r="263" spans="1:18" x14ac:dyDescent="0.2">
      <c r="D263" s="424"/>
      <c r="E263" s="424"/>
      <c r="F263" s="424"/>
      <c r="G263" s="424"/>
      <c r="H263" s="424"/>
      <c r="I263" s="425"/>
      <c r="J263" s="425" t="s">
        <v>1004</v>
      </c>
      <c r="K263" s="425"/>
      <c r="L263" s="425"/>
      <c r="M263" s="454">
        <v>1</v>
      </c>
      <c r="N263" s="454">
        <f>M263</f>
        <v>1</v>
      </c>
      <c r="O263" s="454">
        <f>M263</f>
        <v>1</v>
      </c>
      <c r="Q263" s="418"/>
      <c r="R263" s="418"/>
    </row>
    <row r="264" spans="1:18" x14ac:dyDescent="0.2">
      <c r="A264" s="432">
        <v>25</v>
      </c>
      <c r="D264" s="424"/>
      <c r="E264" s="424"/>
      <c r="F264" s="465">
        <v>2012</v>
      </c>
      <c r="G264" s="465">
        <v>2013</v>
      </c>
      <c r="H264" s="424"/>
      <c r="I264" s="425"/>
      <c r="J264" s="425" t="s">
        <v>1005</v>
      </c>
      <c r="K264" s="425"/>
      <c r="L264" s="425"/>
      <c r="M264" s="454">
        <v>1</v>
      </c>
      <c r="N264" s="454">
        <f>M264</f>
        <v>1</v>
      </c>
      <c r="O264" s="454">
        <f>M264</f>
        <v>1</v>
      </c>
      <c r="Q264" s="418"/>
      <c r="R264" s="418"/>
    </row>
    <row r="265" spans="1:18" x14ac:dyDescent="0.2">
      <c r="D265" s="424"/>
      <c r="E265" s="424"/>
      <c r="F265" s="424">
        <v>48114285</v>
      </c>
      <c r="G265" s="424">
        <v>43601165</v>
      </c>
      <c r="H265" s="424"/>
      <c r="I265" s="425"/>
      <c r="J265" s="425"/>
      <c r="K265" s="425"/>
      <c r="L265" s="425"/>
      <c r="M265" s="455"/>
      <c r="N265" s="425"/>
      <c r="O265" s="425"/>
      <c r="Q265" s="418"/>
      <c r="R265" s="418"/>
    </row>
    <row r="266" spans="1:18" x14ac:dyDescent="0.2">
      <c r="B266" s="417" t="s">
        <v>837</v>
      </c>
      <c r="D266" s="466" t="s">
        <v>838</v>
      </c>
      <c r="E266" s="424"/>
      <c r="F266" s="424"/>
      <c r="G266" s="424"/>
      <c r="H266" s="424"/>
      <c r="I266" s="425"/>
      <c r="J266" s="425" t="s">
        <v>686</v>
      </c>
      <c r="K266" s="425"/>
      <c r="L266" s="425"/>
      <c r="M266" s="456">
        <f>M261*M262*M263*M264</f>
        <v>1443428.55</v>
      </c>
      <c r="N266" s="457">
        <f>N261*N262*N263*N264</f>
        <v>1010399.985</v>
      </c>
      <c r="O266" s="457">
        <f>O261*O262*O263*O264</f>
        <v>433028.565</v>
      </c>
      <c r="Q266" s="418"/>
      <c r="R266" s="418"/>
    </row>
    <row r="267" spans="1:18" x14ac:dyDescent="0.2">
      <c r="B267" s="418" t="s">
        <v>839</v>
      </c>
      <c r="D267" s="424">
        <v>35169</v>
      </c>
      <c r="E267" s="424"/>
      <c r="F267" s="424">
        <v>5310224.5057920301</v>
      </c>
      <c r="G267" s="424">
        <v>4812125.4397541517</v>
      </c>
      <c r="H267" s="424">
        <v>498099.06603787502</v>
      </c>
      <c r="I267" s="425"/>
      <c r="J267" s="425"/>
      <c r="K267" s="425"/>
      <c r="L267" s="425"/>
      <c r="M267" s="425"/>
      <c r="N267" s="425"/>
      <c r="O267" s="425"/>
      <c r="Q267" s="418"/>
      <c r="R267" s="418"/>
    </row>
    <row r="268" spans="1:18" x14ac:dyDescent="0.2">
      <c r="B268" s="418" t="s">
        <v>840</v>
      </c>
      <c r="D268" s="424">
        <v>10341</v>
      </c>
      <c r="E268" s="424"/>
      <c r="F268" s="424">
        <v>1561404.4076998308</v>
      </c>
      <c r="G268" s="424">
        <v>1414944.6720833031</v>
      </c>
      <c r="H268" s="424">
        <v>146459.73561652773</v>
      </c>
      <c r="I268" s="425"/>
      <c r="K268" s="458"/>
      <c r="L268" s="458"/>
      <c r="M268" s="425"/>
      <c r="N268" s="450" t="s">
        <v>144</v>
      </c>
      <c r="O268" s="450" t="s">
        <v>398</v>
      </c>
      <c r="Q268" s="418"/>
      <c r="R268" s="418"/>
    </row>
    <row r="269" spans="1:18" x14ac:dyDescent="0.2">
      <c r="B269" s="418" t="s">
        <v>841</v>
      </c>
      <c r="D269" s="424">
        <v>7238</v>
      </c>
      <c r="E269" s="424"/>
      <c r="F269" s="424">
        <v>1092877.3912514625</v>
      </c>
      <c r="G269" s="424">
        <v>990365.4904302241</v>
      </c>
      <c r="H269" s="424">
        <v>102511.90082123841</v>
      </c>
      <c r="I269" s="425"/>
      <c r="J269" s="451" t="s">
        <v>745</v>
      </c>
      <c r="K269" s="458"/>
      <c r="L269" s="458"/>
      <c r="N269" s="452">
        <v>0.7</v>
      </c>
      <c r="O269" s="452">
        <v>0.3</v>
      </c>
      <c r="Q269" s="418"/>
      <c r="R269" s="418"/>
    </row>
    <row r="270" spans="1:18" x14ac:dyDescent="0.2">
      <c r="B270" s="418" t="s">
        <v>842</v>
      </c>
      <c r="D270" s="424">
        <v>44308</v>
      </c>
      <c r="E270" s="424"/>
      <c r="F270" s="424"/>
      <c r="G270" s="424">
        <v>6062602.1207491523</v>
      </c>
      <c r="H270" s="424">
        <v>627534.85791481566</v>
      </c>
      <c r="I270" s="425"/>
      <c r="J270" s="425" t="s">
        <v>685</v>
      </c>
      <c r="K270" s="458"/>
      <c r="L270" s="458"/>
      <c r="M270" s="425">
        <f>43601165+4513120</f>
        <v>48114285</v>
      </c>
      <c r="N270" s="425">
        <f>M270*N269</f>
        <v>33679999.5</v>
      </c>
      <c r="O270" s="425">
        <f>M270*O269</f>
        <v>14434285.5</v>
      </c>
      <c r="Q270" s="418"/>
      <c r="R270" s="418"/>
    </row>
    <row r="271" spans="1:18" x14ac:dyDescent="0.2">
      <c r="B271" s="418" t="s">
        <v>843</v>
      </c>
      <c r="D271" s="424">
        <v>31156</v>
      </c>
      <c r="E271" s="424"/>
      <c r="F271" s="424"/>
      <c r="G271" s="424">
        <v>4263032.2215866344</v>
      </c>
      <c r="H271" s="424">
        <v>441262.88781244867</v>
      </c>
      <c r="I271" s="425"/>
      <c r="J271" s="425" t="s">
        <v>684</v>
      </c>
      <c r="K271" s="425"/>
      <c r="L271" s="425"/>
      <c r="M271" s="453">
        <v>0.11</v>
      </c>
      <c r="N271" s="454">
        <f>M271</f>
        <v>0.11</v>
      </c>
      <c r="O271" s="454">
        <f>M271</f>
        <v>0.11</v>
      </c>
      <c r="Q271" s="418"/>
      <c r="R271" s="418"/>
    </row>
    <row r="272" spans="1:18" x14ac:dyDescent="0.2">
      <c r="D272" s="467">
        <v>128212</v>
      </c>
      <c r="E272" s="424"/>
      <c r="F272" s="467">
        <v>7964506.3047433197</v>
      </c>
      <c r="G272" s="468">
        <v>17543069.944603499</v>
      </c>
      <c r="H272" s="467">
        <v>1815868.4482029052</v>
      </c>
      <c r="I272" s="425"/>
      <c r="J272" s="425" t="s">
        <v>1114</v>
      </c>
      <c r="K272" s="425"/>
      <c r="L272" s="425"/>
      <c r="M272" s="454">
        <v>1</v>
      </c>
      <c r="N272" s="454">
        <f>M272</f>
        <v>1</v>
      </c>
      <c r="O272" s="454">
        <f>M272</f>
        <v>1</v>
      </c>
      <c r="Q272" s="418"/>
      <c r="R272" s="418"/>
    </row>
    <row r="273" spans="2:18" x14ac:dyDescent="0.2">
      <c r="B273" s="417" t="s">
        <v>844</v>
      </c>
      <c r="D273" s="424"/>
      <c r="E273" s="424"/>
      <c r="F273" s="424"/>
      <c r="G273" s="424"/>
      <c r="H273" s="424"/>
      <c r="I273" s="425"/>
      <c r="J273" s="425" t="s">
        <v>1081</v>
      </c>
      <c r="K273" s="425"/>
      <c r="L273" s="425"/>
      <c r="M273" s="454">
        <v>0.53290000000000004</v>
      </c>
      <c r="N273" s="454">
        <f>M273</f>
        <v>0.53290000000000004</v>
      </c>
      <c r="O273" s="454">
        <f>M273</f>
        <v>0.53290000000000004</v>
      </c>
      <c r="Q273" s="418"/>
      <c r="R273" s="418"/>
    </row>
    <row r="274" spans="2:18" x14ac:dyDescent="0.2">
      <c r="B274" s="418" t="s">
        <v>476</v>
      </c>
      <c r="D274" s="424">
        <v>17126</v>
      </c>
      <c r="E274" s="424"/>
      <c r="F274" s="424">
        <v>2585882.5922316313</v>
      </c>
      <c r="G274" s="424">
        <v>2343326.8014794169</v>
      </c>
      <c r="H274" s="424">
        <v>242555.79075221438</v>
      </c>
      <c r="I274" s="425"/>
      <c r="K274" s="425"/>
      <c r="L274" s="425"/>
      <c r="M274" s="425"/>
      <c r="N274" s="425"/>
      <c r="O274" s="425"/>
      <c r="Q274" s="418"/>
      <c r="R274" s="418"/>
    </row>
    <row r="275" spans="2:18" x14ac:dyDescent="0.2">
      <c r="B275" s="418" t="s">
        <v>845</v>
      </c>
      <c r="D275" s="424">
        <v>37050</v>
      </c>
      <c r="E275" s="424"/>
      <c r="F275" s="424">
        <v>5594239.7548862509</v>
      </c>
      <c r="G275" s="424">
        <v>5069500.0580878416</v>
      </c>
      <c r="H275" s="424">
        <v>524739.69679840934</v>
      </c>
      <c r="I275" s="425"/>
      <c r="J275" s="425"/>
      <c r="K275" s="425"/>
      <c r="L275" s="425"/>
      <c r="M275" s="456">
        <f>M270*M271*M272*M273</f>
        <v>2820411.272415</v>
      </c>
      <c r="N275" s="456">
        <f>N270*N271*N272*N273</f>
        <v>1974287.8906905001</v>
      </c>
      <c r="O275" s="456">
        <f>O270*O271*O272*O273</f>
        <v>846123.3817245001</v>
      </c>
      <c r="Q275" s="418"/>
      <c r="R275" s="418"/>
    </row>
    <row r="276" spans="2:18" x14ac:dyDescent="0.2">
      <c r="B276" s="418" t="s">
        <v>842</v>
      </c>
      <c r="D276" s="424"/>
      <c r="E276" s="424"/>
      <c r="F276" s="424">
        <v>6690136.9786639679</v>
      </c>
      <c r="G276" s="424"/>
      <c r="H276" s="424"/>
      <c r="I276" s="425"/>
      <c r="J276" s="421"/>
      <c r="Q276" s="418"/>
      <c r="R276" s="418"/>
    </row>
    <row r="277" spans="2:18" x14ac:dyDescent="0.2">
      <c r="B277" s="418" t="s">
        <v>843</v>
      </c>
      <c r="D277" s="424"/>
      <c r="E277" s="424"/>
      <c r="F277" s="424">
        <v>4704295.1093990831</v>
      </c>
      <c r="G277" s="424"/>
      <c r="H277" s="424"/>
      <c r="I277" s="425"/>
      <c r="M277" s="421">
        <f>M266+M275</f>
        <v>4263839.8224149998</v>
      </c>
      <c r="N277" s="421">
        <f>N266+N275</f>
        <v>2984687.8756905003</v>
      </c>
      <c r="O277" s="421">
        <f>O266+O275</f>
        <v>1279151.9467245</v>
      </c>
      <c r="Q277" s="418"/>
      <c r="R277" s="418"/>
    </row>
    <row r="278" spans="2:18" x14ac:dyDescent="0.2">
      <c r="B278" s="418" t="s">
        <v>846</v>
      </c>
      <c r="D278" s="424">
        <v>18444</v>
      </c>
      <c r="E278" s="424"/>
      <c r="F278" s="424">
        <v>2784889.5557117956</v>
      </c>
      <c r="G278" s="424">
        <v>2523666.9115080209</v>
      </c>
      <c r="H278" s="424">
        <v>261222.64420377463</v>
      </c>
      <c r="I278" s="425"/>
      <c r="J278" s="418" t="s">
        <v>1006</v>
      </c>
      <c r="M278" s="464">
        <f>-M252</f>
        <v>-3795936.0798298856</v>
      </c>
      <c r="N278" s="464">
        <f>-N252</f>
        <v>-2657155.2558809202</v>
      </c>
      <c r="O278" s="464">
        <f>-O252</f>
        <v>-1138780.8239489659</v>
      </c>
      <c r="Q278" s="421"/>
      <c r="R278" s="418"/>
    </row>
    <row r="279" spans="2:18" x14ac:dyDescent="0.2">
      <c r="B279" s="418" t="s">
        <v>847</v>
      </c>
      <c r="D279" s="424">
        <v>18444</v>
      </c>
      <c r="E279" s="424"/>
      <c r="F279" s="424">
        <v>2784889.5557117956</v>
      </c>
      <c r="G279" s="424">
        <v>2523666.9115080209</v>
      </c>
      <c r="H279" s="424">
        <v>261222.64420377463</v>
      </c>
      <c r="I279" s="425"/>
      <c r="M279" s="421">
        <f>SUM(M277:M278)</f>
        <v>467903.7425851142</v>
      </c>
      <c r="N279" s="437">
        <f>SUM(N277:N278)</f>
        <v>327532.61980958004</v>
      </c>
      <c r="O279" s="437">
        <f>SUM(O277:O278)</f>
        <v>140371.12277553417</v>
      </c>
      <c r="Q279" s="418"/>
      <c r="R279" s="418"/>
    </row>
    <row r="280" spans="2:18" x14ac:dyDescent="0.2">
      <c r="B280" s="418" t="s">
        <v>848</v>
      </c>
      <c r="D280" s="424">
        <v>35098</v>
      </c>
      <c r="E280" s="424"/>
      <c r="F280" s="424">
        <v>5299504.1003238233</v>
      </c>
      <c r="G280" s="424">
        <v>4802410.6083337944</v>
      </c>
      <c r="H280" s="424">
        <v>497093.49199002888</v>
      </c>
      <c r="I280" s="425"/>
      <c r="J280" s="425"/>
      <c r="K280" s="425"/>
      <c r="L280" s="425"/>
      <c r="M280" s="425"/>
      <c r="N280" s="425"/>
      <c r="Q280" s="418"/>
      <c r="R280" s="418"/>
    </row>
    <row r="281" spans="2:18" x14ac:dyDescent="0.2">
      <c r="B281" s="418" t="s">
        <v>849</v>
      </c>
      <c r="D281" s="424">
        <v>45191.32</v>
      </c>
      <c r="E281" s="424"/>
      <c r="F281" s="424">
        <v>6823510.9020185191</v>
      </c>
      <c r="G281" s="424">
        <v>6183465.5699073216</v>
      </c>
      <c r="H281" s="424">
        <v>640045.33211119752</v>
      </c>
      <c r="I281" s="425"/>
      <c r="J281" s="418" t="s">
        <v>1083</v>
      </c>
      <c r="K281" s="425"/>
      <c r="L281" s="425"/>
      <c r="M281" s="425">
        <f>M261-M277</f>
        <v>43850445.177584998</v>
      </c>
      <c r="N281" s="425">
        <f>N261-N277</f>
        <v>30695311.624309499</v>
      </c>
      <c r="O281" s="425">
        <f>O261-O277</f>
        <v>13155133.553275499</v>
      </c>
      <c r="Q281" s="418"/>
      <c r="R281" s="418"/>
    </row>
    <row r="282" spans="2:18" x14ac:dyDescent="0.2">
      <c r="B282" s="418" t="s">
        <v>850</v>
      </c>
      <c r="D282" s="424">
        <v>19090</v>
      </c>
      <c r="E282" s="424"/>
      <c r="F282" s="424">
        <v>2882430.1463098121</v>
      </c>
      <c r="G282" s="424">
        <v>2612058.1945721162</v>
      </c>
      <c r="H282" s="424">
        <v>270371.95173769584</v>
      </c>
      <c r="I282" s="425"/>
      <c r="J282" s="425"/>
      <c r="K282" s="425"/>
      <c r="L282" s="425"/>
      <c r="M282" s="425"/>
      <c r="N282" s="425"/>
      <c r="Q282" s="418"/>
      <c r="R282" s="418"/>
    </row>
    <row r="283" spans="2:18" x14ac:dyDescent="0.2">
      <c r="D283" s="469">
        <v>190443.32</v>
      </c>
      <c r="E283" s="424"/>
      <c r="F283" s="467">
        <v>40149778.69525668</v>
      </c>
      <c r="G283" s="468">
        <v>26058095.055396501</v>
      </c>
      <c r="H283" s="467">
        <v>2697251.5517970952</v>
      </c>
      <c r="I283" s="425"/>
      <c r="J283" s="425"/>
      <c r="K283" s="425"/>
      <c r="L283" s="425"/>
      <c r="M283" s="425"/>
      <c r="N283" s="425"/>
      <c r="Q283" s="418"/>
      <c r="R283" s="418"/>
    </row>
    <row r="284" spans="2:18" ht="12" thickBot="1" x14ac:dyDescent="0.25">
      <c r="D284" s="470">
        <v>318655.32</v>
      </c>
      <c r="E284" s="424"/>
      <c r="F284" s="471">
        <v>48114285</v>
      </c>
      <c r="G284" s="472">
        <v>43601165</v>
      </c>
      <c r="H284" s="472">
        <v>4513120</v>
      </c>
      <c r="I284" s="425"/>
      <c r="J284" s="425"/>
      <c r="K284" s="425"/>
      <c r="L284" s="425"/>
      <c r="M284" s="425"/>
      <c r="N284" s="425"/>
      <c r="Q284" s="418"/>
      <c r="R284" s="418"/>
    </row>
    <row r="285" spans="2:18" ht="12" thickTop="1" x14ac:dyDescent="0.2">
      <c r="D285" s="473"/>
      <c r="E285" s="424"/>
      <c r="F285" s="474"/>
      <c r="G285" s="474"/>
      <c r="H285" s="474"/>
      <c r="I285" s="425"/>
      <c r="J285" s="425"/>
      <c r="K285" s="425"/>
      <c r="L285" s="425"/>
      <c r="M285" s="425"/>
      <c r="N285" s="425"/>
      <c r="Q285" s="418"/>
      <c r="R285" s="418"/>
    </row>
    <row r="286" spans="2:18" x14ac:dyDescent="0.2">
      <c r="B286" s="418" t="s">
        <v>865</v>
      </c>
      <c r="D286" s="473"/>
      <c r="E286" s="424"/>
      <c r="F286" s="475">
        <v>17543070</v>
      </c>
      <c r="G286" s="474"/>
      <c r="H286" s="424" t="s">
        <v>412</v>
      </c>
      <c r="J286" s="425"/>
      <c r="K286" s="425"/>
      <c r="L286" s="425"/>
      <c r="M286" s="425"/>
      <c r="N286" s="425"/>
      <c r="Q286" s="418"/>
      <c r="R286" s="418"/>
    </row>
    <row r="287" spans="2:18" x14ac:dyDescent="0.2">
      <c r="B287" s="418" t="s">
        <v>866</v>
      </c>
      <c r="D287" s="473"/>
      <c r="E287" s="424"/>
      <c r="F287" s="475">
        <v>26058095</v>
      </c>
      <c r="G287" s="474"/>
      <c r="H287" s="424" t="s">
        <v>412</v>
      </c>
      <c r="J287" s="425"/>
      <c r="K287" s="425"/>
      <c r="L287" s="425"/>
      <c r="M287" s="425"/>
      <c r="N287" s="425"/>
      <c r="Q287" s="418"/>
      <c r="R287" s="418"/>
    </row>
    <row r="288" spans="2:18" x14ac:dyDescent="0.2">
      <c r="C288" s="418" t="s">
        <v>863</v>
      </c>
      <c r="D288" s="473"/>
      <c r="E288" s="424"/>
      <c r="F288" s="474"/>
      <c r="G288" s="475">
        <v>17543070</v>
      </c>
      <c r="H288" s="424" t="s">
        <v>412</v>
      </c>
      <c r="J288" s="425"/>
      <c r="K288" s="425"/>
      <c r="L288" s="425"/>
      <c r="M288" s="425"/>
      <c r="N288" s="425"/>
      <c r="Q288" s="418"/>
      <c r="R288" s="418"/>
    </row>
    <row r="289" spans="1:18" x14ac:dyDescent="0.2">
      <c r="C289" s="418" t="s">
        <v>864</v>
      </c>
      <c r="D289" s="473"/>
      <c r="E289" s="424"/>
      <c r="F289" s="474"/>
      <c r="G289" s="475">
        <v>26058095</v>
      </c>
      <c r="H289" s="424" t="s">
        <v>412</v>
      </c>
      <c r="J289" s="425"/>
      <c r="K289" s="425"/>
      <c r="L289" s="425"/>
      <c r="M289" s="425"/>
      <c r="N289" s="425"/>
      <c r="Q289" s="418"/>
      <c r="R289" s="418"/>
    </row>
    <row r="290" spans="1:18" x14ac:dyDescent="0.2">
      <c r="D290" s="473"/>
      <c r="E290" s="424"/>
      <c r="F290" s="474"/>
      <c r="G290" s="474"/>
      <c r="H290" s="424"/>
      <c r="J290" s="425"/>
      <c r="K290" s="425"/>
      <c r="L290" s="425"/>
      <c r="M290" s="425"/>
      <c r="N290" s="425"/>
      <c r="Q290" s="418"/>
      <c r="R290" s="418"/>
    </row>
    <row r="291" spans="1:18" x14ac:dyDescent="0.2">
      <c r="B291" s="418" t="s">
        <v>851</v>
      </c>
      <c r="D291" s="424"/>
      <c r="E291" s="424"/>
      <c r="F291" s="424"/>
      <c r="G291" s="424"/>
      <c r="H291" s="424"/>
      <c r="J291" s="425"/>
      <c r="K291" s="425"/>
      <c r="L291" s="425"/>
      <c r="M291" s="425"/>
      <c r="N291" s="425"/>
      <c r="Q291" s="418"/>
      <c r="R291" s="418"/>
    </row>
    <row r="292" spans="1:18" x14ac:dyDescent="0.2">
      <c r="D292" s="424"/>
      <c r="E292" s="424"/>
      <c r="F292" s="424"/>
      <c r="G292" s="424"/>
      <c r="H292" s="424"/>
      <c r="J292" s="425"/>
      <c r="K292" s="425"/>
      <c r="L292" s="425"/>
      <c r="M292" s="425"/>
      <c r="N292" s="425"/>
      <c r="Q292" s="418"/>
      <c r="R292" s="418"/>
    </row>
    <row r="293" spans="1:18" x14ac:dyDescent="0.2">
      <c r="D293" s="424"/>
      <c r="E293" s="424"/>
      <c r="F293" s="424"/>
      <c r="G293" s="424"/>
      <c r="H293" s="424"/>
      <c r="J293" s="425"/>
      <c r="K293" s="425"/>
      <c r="L293" s="425"/>
      <c r="M293" s="425"/>
      <c r="N293" s="425"/>
      <c r="Q293" s="418"/>
      <c r="R293" s="418"/>
    </row>
    <row r="294" spans="1:18" x14ac:dyDescent="0.2">
      <c r="A294" s="432">
        <v>26</v>
      </c>
      <c r="B294" s="418" t="s">
        <v>347</v>
      </c>
      <c r="D294" s="424"/>
      <c r="E294" s="424"/>
      <c r="F294" s="438">
        <v>1359382</v>
      </c>
      <c r="G294" s="424"/>
      <c r="H294" s="424" t="s">
        <v>412</v>
      </c>
      <c r="J294" s="425"/>
      <c r="K294" s="425"/>
      <c r="L294" s="425"/>
      <c r="M294" s="425"/>
      <c r="N294" s="425"/>
      <c r="Q294" s="418"/>
      <c r="R294" s="418"/>
    </row>
    <row r="295" spans="1:18" x14ac:dyDescent="0.2">
      <c r="B295" s="418" t="s">
        <v>348</v>
      </c>
      <c r="D295" s="424"/>
      <c r="E295" s="424"/>
      <c r="F295" s="438">
        <v>3153738</v>
      </c>
      <c r="G295" s="424"/>
      <c r="H295" s="424" t="s">
        <v>412</v>
      </c>
      <c r="J295" s="425"/>
      <c r="K295" s="425"/>
      <c r="L295" s="425"/>
      <c r="M295" s="425"/>
      <c r="N295" s="425"/>
      <c r="Q295" s="418"/>
      <c r="R295" s="418"/>
    </row>
    <row r="296" spans="1:18" x14ac:dyDescent="0.2">
      <c r="C296" s="418" t="s">
        <v>310</v>
      </c>
      <c r="D296" s="424"/>
      <c r="E296" s="424"/>
      <c r="F296" s="424"/>
      <c r="G296" s="438">
        <v>4513120</v>
      </c>
      <c r="H296" s="424" t="s">
        <v>412</v>
      </c>
      <c r="J296" s="425"/>
      <c r="K296" s="425"/>
      <c r="L296" s="425"/>
      <c r="M296" s="425"/>
      <c r="N296" s="425"/>
      <c r="Q296" s="418"/>
      <c r="R296" s="418"/>
    </row>
    <row r="297" spans="1:18" x14ac:dyDescent="0.2">
      <c r="D297" s="424"/>
      <c r="E297" s="424"/>
      <c r="F297" s="424"/>
      <c r="G297" s="424"/>
      <c r="H297" s="424"/>
      <c r="I297" s="425"/>
      <c r="J297" s="425"/>
      <c r="K297" s="425"/>
      <c r="L297" s="425"/>
      <c r="M297" s="425"/>
      <c r="N297" s="425"/>
      <c r="Q297" s="418"/>
      <c r="R297" s="418"/>
    </row>
    <row r="298" spans="1:18" x14ac:dyDescent="0.2">
      <c r="B298" s="418" t="s">
        <v>825</v>
      </c>
      <c r="D298" s="424"/>
      <c r="E298" s="424"/>
      <c r="F298" s="424"/>
      <c r="G298" s="424"/>
      <c r="H298" s="424"/>
      <c r="I298" s="425"/>
      <c r="J298" s="425"/>
      <c r="K298" s="425"/>
      <c r="L298" s="425"/>
      <c r="M298" s="425"/>
      <c r="N298" s="425"/>
      <c r="Q298" s="418"/>
      <c r="R298" s="418"/>
    </row>
    <row r="299" spans="1:18" x14ac:dyDescent="0.2">
      <c r="D299" s="424"/>
      <c r="E299" s="424"/>
      <c r="F299" s="424"/>
      <c r="G299" s="424"/>
      <c r="H299" s="424"/>
      <c r="I299" s="425"/>
      <c r="J299" s="425"/>
      <c r="K299" s="425"/>
      <c r="L299" s="425"/>
      <c r="M299" s="425"/>
      <c r="N299" s="425"/>
      <c r="Q299" s="418"/>
      <c r="R299" s="418"/>
    </row>
    <row r="300" spans="1:18" x14ac:dyDescent="0.2">
      <c r="D300" s="424"/>
      <c r="E300" s="424"/>
      <c r="F300" s="424"/>
      <c r="G300" s="424"/>
      <c r="H300" s="424"/>
      <c r="I300" s="425"/>
      <c r="J300" s="425"/>
      <c r="K300" s="425"/>
      <c r="L300" s="425"/>
      <c r="M300" s="425"/>
      <c r="N300" s="425"/>
      <c r="Q300" s="418"/>
      <c r="R300" s="418"/>
    </row>
    <row r="301" spans="1:18" x14ac:dyDescent="0.2">
      <c r="A301" s="418">
        <v>27</v>
      </c>
      <c r="B301" s="418" t="s">
        <v>310</v>
      </c>
      <c r="D301" s="424"/>
      <c r="E301" s="424"/>
      <c r="F301" s="424"/>
      <c r="G301" s="424"/>
      <c r="H301" s="424"/>
      <c r="I301" s="425"/>
      <c r="J301" s="425"/>
      <c r="K301" s="425"/>
      <c r="L301" s="425"/>
      <c r="M301" s="425"/>
      <c r="N301" s="425"/>
      <c r="Q301" s="418"/>
      <c r="R301" s="418"/>
    </row>
    <row r="302" spans="1:18" x14ac:dyDescent="0.2">
      <c r="C302" s="418" t="s">
        <v>348</v>
      </c>
      <c r="D302" s="424"/>
      <c r="E302" s="424"/>
      <c r="F302" s="424"/>
      <c r="G302" s="424"/>
      <c r="H302" s="424"/>
      <c r="I302" s="425"/>
      <c r="J302" s="425"/>
      <c r="K302" s="425"/>
      <c r="L302" s="425"/>
      <c r="M302" s="425"/>
      <c r="N302" s="425"/>
      <c r="Q302" s="418"/>
      <c r="R302" s="418"/>
    </row>
    <row r="303" spans="1:18" x14ac:dyDescent="0.2">
      <c r="D303" s="424"/>
      <c r="E303" s="424"/>
      <c r="F303" s="424"/>
      <c r="G303" s="424"/>
      <c r="H303" s="424"/>
      <c r="I303" s="425"/>
      <c r="J303" s="425"/>
      <c r="K303" s="425"/>
      <c r="L303" s="425"/>
      <c r="M303" s="425"/>
      <c r="N303" s="425"/>
      <c r="Q303" s="418"/>
      <c r="R303" s="418"/>
    </row>
    <row r="304" spans="1:18" x14ac:dyDescent="0.2">
      <c r="B304" s="418" t="s">
        <v>826</v>
      </c>
      <c r="D304" s="424"/>
      <c r="E304" s="424"/>
      <c r="F304" s="424"/>
      <c r="G304" s="424"/>
      <c r="H304" s="424"/>
      <c r="I304" s="425"/>
      <c r="J304" s="425"/>
      <c r="K304" s="425"/>
      <c r="L304" s="425"/>
      <c r="M304" s="425"/>
      <c r="N304" s="425"/>
      <c r="Q304" s="418"/>
      <c r="R304" s="418"/>
    </row>
    <row r="305" spans="1:18" x14ac:dyDescent="0.2">
      <c r="D305" s="424"/>
      <c r="E305" s="424"/>
      <c r="F305" s="424"/>
      <c r="G305" s="424"/>
      <c r="H305" s="424"/>
      <c r="I305" s="425"/>
      <c r="J305" s="425"/>
      <c r="K305" s="425"/>
      <c r="L305" s="425"/>
      <c r="M305" s="425"/>
      <c r="N305" s="425"/>
      <c r="Q305" s="418"/>
      <c r="R305" s="418"/>
    </row>
    <row r="306" spans="1:18" x14ac:dyDescent="0.2">
      <c r="D306" s="424"/>
      <c r="E306" s="424"/>
      <c r="F306" s="424"/>
      <c r="G306" s="424"/>
      <c r="H306" s="424"/>
      <c r="I306" s="425"/>
      <c r="J306" s="425"/>
      <c r="K306" s="425"/>
      <c r="L306" s="425"/>
      <c r="M306" s="425"/>
      <c r="N306" s="425"/>
      <c r="Q306" s="418"/>
      <c r="R306" s="418"/>
    </row>
    <row r="307" spans="1:18" x14ac:dyDescent="0.2">
      <c r="A307" s="418">
        <v>28</v>
      </c>
      <c r="B307" s="418" t="s">
        <v>834</v>
      </c>
      <c r="D307" s="424"/>
      <c r="E307" s="424"/>
      <c r="F307" s="424"/>
      <c r="G307" s="424"/>
      <c r="H307" s="424"/>
      <c r="I307" s="425"/>
      <c r="J307" s="425"/>
      <c r="K307" s="425"/>
      <c r="L307" s="425"/>
      <c r="M307" s="425"/>
      <c r="N307" s="425"/>
      <c r="Q307" s="418"/>
      <c r="R307" s="418"/>
    </row>
    <row r="308" spans="1:18" x14ac:dyDescent="0.2">
      <c r="B308" s="418" t="s">
        <v>1077</v>
      </c>
      <c r="D308" s="433">
        <v>57424</v>
      </c>
      <c r="E308" s="424"/>
      <c r="F308" s="424"/>
      <c r="G308" s="424"/>
      <c r="H308" s="424" t="s">
        <v>412</v>
      </c>
      <c r="I308" s="425"/>
      <c r="J308" s="425"/>
      <c r="K308" s="425"/>
      <c r="L308" s="425"/>
      <c r="M308" s="425"/>
      <c r="N308" s="425"/>
      <c r="Q308" s="418"/>
      <c r="R308" s="418"/>
    </row>
    <row r="309" spans="1:18" x14ac:dyDescent="0.2">
      <c r="B309" s="418" t="s">
        <v>835</v>
      </c>
      <c r="D309" s="424"/>
      <c r="E309" s="424"/>
      <c r="F309" s="424"/>
      <c r="G309" s="424"/>
      <c r="H309" s="424"/>
      <c r="I309" s="425"/>
      <c r="J309" s="425"/>
      <c r="K309" s="425"/>
      <c r="L309" s="425"/>
      <c r="M309" s="425"/>
      <c r="N309" s="425"/>
      <c r="Q309" s="418"/>
      <c r="R309" s="418"/>
    </row>
    <row r="310" spans="1:18" x14ac:dyDescent="0.2">
      <c r="C310" s="418" t="s">
        <v>1078</v>
      </c>
      <c r="D310" s="424"/>
      <c r="E310" s="424"/>
      <c r="F310" s="424"/>
      <c r="G310" s="433">
        <v>57424</v>
      </c>
      <c r="H310" s="424" t="s">
        <v>412</v>
      </c>
      <c r="I310" s="425"/>
      <c r="J310" s="425"/>
      <c r="K310" s="425"/>
      <c r="L310" s="425"/>
      <c r="M310" s="425"/>
      <c r="N310" s="425"/>
      <c r="Q310" s="418"/>
      <c r="R310" s="418"/>
    </row>
    <row r="311" spans="1:18" x14ac:dyDescent="0.2">
      <c r="C311" s="418" t="s">
        <v>833</v>
      </c>
      <c r="D311" s="424"/>
      <c r="E311" s="424"/>
      <c r="F311" s="424"/>
      <c r="G311" s="424"/>
      <c r="H311" s="424"/>
      <c r="I311" s="425"/>
      <c r="J311" s="425"/>
      <c r="K311" s="425"/>
      <c r="L311" s="425"/>
      <c r="M311" s="425"/>
      <c r="N311" s="425"/>
      <c r="Q311" s="418"/>
      <c r="R311" s="418"/>
    </row>
    <row r="312" spans="1:18" x14ac:dyDescent="0.2">
      <c r="C312" s="418" t="s">
        <v>836</v>
      </c>
      <c r="D312" s="424"/>
      <c r="E312" s="424"/>
      <c r="F312" s="424"/>
      <c r="G312" s="424"/>
      <c r="H312" s="424"/>
      <c r="I312" s="425"/>
      <c r="J312" s="425"/>
      <c r="K312" s="425"/>
      <c r="L312" s="425"/>
      <c r="M312" s="425"/>
      <c r="N312" s="425"/>
      <c r="Q312" s="418"/>
      <c r="R312" s="418"/>
    </row>
    <row r="313" spans="1:18" x14ac:dyDescent="0.2">
      <c r="D313" s="424"/>
      <c r="E313" s="424"/>
      <c r="F313" s="424"/>
      <c r="G313" s="424"/>
      <c r="H313" s="424"/>
      <c r="I313" s="425"/>
      <c r="J313" s="425"/>
      <c r="K313" s="425"/>
      <c r="L313" s="425"/>
      <c r="M313" s="425"/>
      <c r="N313" s="425"/>
      <c r="Q313" s="418"/>
      <c r="R313" s="418"/>
    </row>
    <row r="314" spans="1:18" x14ac:dyDescent="0.2">
      <c r="D314" s="424"/>
      <c r="E314" s="424"/>
      <c r="F314" s="424"/>
      <c r="G314" s="424"/>
      <c r="H314" s="424"/>
      <c r="I314" s="425"/>
      <c r="J314" s="425"/>
      <c r="K314" s="425"/>
      <c r="L314" s="425"/>
      <c r="M314" s="425"/>
      <c r="N314" s="425"/>
      <c r="Q314" s="418"/>
      <c r="R314" s="418"/>
    </row>
    <row r="315" spans="1:18" x14ac:dyDescent="0.2">
      <c r="D315" s="424"/>
      <c r="E315" s="424"/>
      <c r="F315" s="424"/>
      <c r="G315" s="424"/>
      <c r="H315" s="424"/>
      <c r="I315" s="425"/>
      <c r="J315" s="425"/>
      <c r="K315" s="425"/>
      <c r="L315" s="425"/>
      <c r="M315" s="425"/>
      <c r="N315" s="425"/>
      <c r="Q315" s="418"/>
      <c r="R315" s="418"/>
    </row>
    <row r="316" spans="1:18" x14ac:dyDescent="0.2">
      <c r="D316" s="424"/>
      <c r="E316" s="424"/>
      <c r="F316" s="424"/>
      <c r="G316" s="424"/>
      <c r="H316" s="424"/>
      <c r="I316" s="425"/>
      <c r="J316" s="425"/>
      <c r="K316" s="425"/>
      <c r="L316" s="425"/>
      <c r="M316" s="425"/>
      <c r="N316" s="425"/>
      <c r="Q316" s="418"/>
      <c r="R316" s="418"/>
    </row>
    <row r="317" spans="1:18" x14ac:dyDescent="0.2">
      <c r="A317" s="432">
        <v>29</v>
      </c>
      <c r="B317" s="418" t="s">
        <v>582</v>
      </c>
      <c r="D317" s="424"/>
      <c r="E317" s="424"/>
      <c r="F317" s="438"/>
      <c r="G317" s="424"/>
      <c r="H317" s="424"/>
      <c r="I317" s="425"/>
      <c r="J317" s="425"/>
      <c r="K317" s="425"/>
      <c r="L317" s="425"/>
      <c r="M317" s="425"/>
      <c r="N317" s="425"/>
      <c r="Q317" s="418"/>
      <c r="R317" s="418"/>
    </row>
    <row r="318" spans="1:18" x14ac:dyDescent="0.2">
      <c r="C318" s="418" t="s">
        <v>852</v>
      </c>
      <c r="D318" s="424"/>
      <c r="E318" s="424"/>
      <c r="F318" s="424"/>
      <c r="G318" s="438"/>
      <c r="H318" s="424"/>
      <c r="I318" s="425"/>
      <c r="J318" s="425"/>
      <c r="K318" s="425"/>
      <c r="L318" s="425"/>
      <c r="M318" s="425"/>
      <c r="N318" s="425"/>
      <c r="Q318" s="418"/>
      <c r="R318" s="418"/>
    </row>
    <row r="319" spans="1:18" x14ac:dyDescent="0.2">
      <c r="D319" s="424"/>
      <c r="E319" s="424"/>
      <c r="F319" s="424"/>
      <c r="G319" s="424"/>
      <c r="H319" s="424"/>
      <c r="I319" s="425"/>
      <c r="J319" s="425"/>
      <c r="K319" s="425"/>
      <c r="L319" s="425"/>
      <c r="M319" s="425"/>
      <c r="N319" s="425"/>
      <c r="Q319" s="418"/>
      <c r="R319" s="418"/>
    </row>
    <row r="320" spans="1:18" x14ac:dyDescent="0.2">
      <c r="B320" s="418" t="s">
        <v>874</v>
      </c>
      <c r="D320" s="424"/>
      <c r="E320" s="424"/>
      <c r="F320" s="424"/>
      <c r="G320" s="424"/>
      <c r="H320" s="424"/>
      <c r="I320" s="425"/>
      <c r="J320" s="425"/>
      <c r="K320" s="425"/>
      <c r="L320" s="425"/>
      <c r="M320" s="425"/>
      <c r="N320" s="425"/>
      <c r="Q320" s="418"/>
      <c r="R320" s="418"/>
    </row>
    <row r="321" spans="1:18" x14ac:dyDescent="0.2">
      <c r="D321" s="424"/>
      <c r="E321" s="424"/>
      <c r="F321" s="424"/>
      <c r="G321" s="424"/>
      <c r="H321" s="424"/>
      <c r="I321" s="425"/>
      <c r="J321" s="425"/>
      <c r="K321" s="425"/>
      <c r="L321" s="425"/>
      <c r="M321" s="425"/>
      <c r="N321" s="425"/>
      <c r="Q321" s="418"/>
      <c r="R321" s="418"/>
    </row>
    <row r="322" spans="1:18" x14ac:dyDescent="0.2">
      <c r="A322" s="432">
        <v>30</v>
      </c>
      <c r="B322" s="418" t="s">
        <v>279</v>
      </c>
      <c r="D322" s="424"/>
      <c r="E322" s="424"/>
      <c r="F322" s="424"/>
      <c r="G322" s="424"/>
      <c r="H322" s="424"/>
      <c r="I322" s="425"/>
      <c r="J322" s="425"/>
      <c r="K322" s="425"/>
      <c r="L322" s="425"/>
      <c r="M322" s="425"/>
      <c r="N322" s="425"/>
      <c r="Q322" s="418"/>
      <c r="R322" s="418"/>
    </row>
    <row r="323" spans="1:18" x14ac:dyDescent="0.2">
      <c r="C323" s="418" t="s">
        <v>832</v>
      </c>
      <c r="D323" s="424"/>
      <c r="E323" s="424"/>
      <c r="F323" s="424"/>
      <c r="G323" s="424"/>
      <c r="H323" s="424"/>
      <c r="I323" s="425"/>
      <c r="J323" s="425"/>
      <c r="K323" s="425"/>
      <c r="L323" s="425"/>
      <c r="M323" s="425"/>
      <c r="N323" s="425"/>
      <c r="Q323" s="418"/>
      <c r="R323" s="418"/>
    </row>
    <row r="324" spans="1:18" x14ac:dyDescent="0.2">
      <c r="B324" s="418" t="s">
        <v>279</v>
      </c>
      <c r="D324" s="424"/>
      <c r="E324" s="424"/>
      <c r="F324" s="438"/>
      <c r="G324" s="424"/>
      <c r="H324" s="424"/>
      <c r="I324" s="425"/>
      <c r="J324" s="425"/>
      <c r="K324" s="425"/>
      <c r="L324" s="425"/>
      <c r="M324" s="425"/>
      <c r="N324" s="425"/>
      <c r="Q324" s="418"/>
      <c r="R324" s="418"/>
    </row>
    <row r="325" spans="1:18" x14ac:dyDescent="0.2">
      <c r="C325" s="418" t="s">
        <v>279</v>
      </c>
      <c r="D325" s="424"/>
      <c r="E325" s="424"/>
      <c r="F325" s="424"/>
      <c r="G325" s="424"/>
      <c r="H325" s="424"/>
      <c r="I325" s="425"/>
      <c r="J325" s="425"/>
      <c r="K325" s="425"/>
      <c r="L325" s="425"/>
      <c r="M325" s="425"/>
      <c r="N325" s="425"/>
      <c r="Q325" s="418"/>
      <c r="R325" s="418"/>
    </row>
    <row r="326" spans="1:18" x14ac:dyDescent="0.2">
      <c r="C326" s="418" t="s">
        <v>926</v>
      </c>
      <c r="D326" s="424"/>
      <c r="E326" s="424"/>
      <c r="F326" s="424"/>
      <c r="G326" s="438"/>
      <c r="H326" s="424"/>
      <c r="I326" s="425"/>
      <c r="J326" s="425"/>
      <c r="K326" s="425"/>
      <c r="L326" s="425"/>
      <c r="M326" s="425"/>
      <c r="N326" s="425"/>
      <c r="Q326" s="418"/>
      <c r="R326" s="418"/>
    </row>
    <row r="327" spans="1:18" x14ac:dyDescent="0.2">
      <c r="B327" s="418" t="s">
        <v>893</v>
      </c>
      <c r="D327" s="424"/>
      <c r="E327" s="424"/>
      <c r="F327" s="424"/>
      <c r="G327" s="424"/>
      <c r="H327" s="424"/>
      <c r="I327" s="425"/>
      <c r="J327" s="425"/>
      <c r="K327" s="425"/>
      <c r="L327" s="425"/>
      <c r="M327" s="425"/>
      <c r="N327" s="425"/>
      <c r="Q327" s="418"/>
      <c r="R327" s="418"/>
    </row>
    <row r="328" spans="1:18" x14ac:dyDescent="0.2">
      <c r="B328" s="418" t="s">
        <v>862</v>
      </c>
      <c r="D328" s="424"/>
      <c r="E328" s="424"/>
      <c r="F328" s="424"/>
      <c r="G328" s="424"/>
      <c r="H328" s="424"/>
      <c r="I328" s="425"/>
      <c r="J328" s="425"/>
      <c r="K328" s="425"/>
      <c r="L328" s="425"/>
      <c r="M328" s="425"/>
      <c r="N328" s="425"/>
      <c r="Q328" s="418"/>
      <c r="R328" s="418"/>
    </row>
    <row r="329" spans="1:18" x14ac:dyDescent="0.2">
      <c r="D329" s="424"/>
      <c r="E329" s="424"/>
      <c r="F329" s="424"/>
      <c r="G329" s="424"/>
      <c r="H329" s="424"/>
      <c r="I329" s="425"/>
      <c r="J329" s="425"/>
      <c r="K329" s="425"/>
      <c r="L329" s="425"/>
      <c r="M329" s="425"/>
      <c r="N329" s="425"/>
      <c r="Q329" s="418"/>
      <c r="R329" s="418"/>
    </row>
    <row r="330" spans="1:18" x14ac:dyDescent="0.2">
      <c r="D330" s="424"/>
      <c r="E330" s="424"/>
      <c r="F330" s="424"/>
      <c r="G330" s="424"/>
      <c r="H330" s="424"/>
      <c r="I330" s="425"/>
      <c r="J330" s="425"/>
      <c r="K330" s="425"/>
      <c r="L330" s="425"/>
      <c r="M330" s="425"/>
      <c r="N330" s="425"/>
      <c r="Q330" s="418"/>
      <c r="R330" s="418"/>
    </row>
    <row r="331" spans="1:18" x14ac:dyDescent="0.2">
      <c r="A331" s="418">
        <v>31</v>
      </c>
      <c r="B331" s="418" t="s">
        <v>349</v>
      </c>
      <c r="D331" s="433">
        <v>81896</v>
      </c>
      <c r="E331" s="424"/>
      <c r="F331" s="424"/>
      <c r="G331" s="424"/>
      <c r="H331" s="424" t="s">
        <v>412</v>
      </c>
      <c r="I331" s="425"/>
      <c r="J331" s="425"/>
      <c r="K331" s="425"/>
      <c r="L331" s="425"/>
      <c r="M331" s="425"/>
      <c r="N331" s="425"/>
      <c r="Q331" s="418"/>
      <c r="R331" s="418"/>
    </row>
    <row r="332" spans="1:18" x14ac:dyDescent="0.2">
      <c r="C332" s="418" t="s">
        <v>1085</v>
      </c>
      <c r="D332" s="424"/>
      <c r="E332" s="433">
        <v>81896</v>
      </c>
      <c r="F332" s="424"/>
      <c r="G332" s="424"/>
      <c r="H332" s="424" t="s">
        <v>412</v>
      </c>
      <c r="I332" s="425"/>
      <c r="J332" s="425"/>
      <c r="K332" s="425"/>
      <c r="L332" s="425"/>
      <c r="M332" s="425"/>
      <c r="N332" s="425"/>
      <c r="Q332" s="418"/>
      <c r="R332" s="418"/>
    </row>
    <row r="333" spans="1:18" x14ac:dyDescent="0.2">
      <c r="D333" s="424"/>
      <c r="E333" s="424"/>
      <c r="F333" s="424"/>
      <c r="G333" s="424"/>
      <c r="H333" s="424"/>
      <c r="I333" s="425"/>
      <c r="J333" s="425"/>
      <c r="K333" s="425"/>
      <c r="L333" s="425"/>
      <c r="M333" s="425"/>
      <c r="N333" s="425"/>
      <c r="Q333" s="418"/>
      <c r="R333" s="418"/>
    </row>
    <row r="334" spans="1:18" x14ac:dyDescent="0.2">
      <c r="B334" s="418" t="s">
        <v>1113</v>
      </c>
      <c r="D334" s="424"/>
      <c r="E334" s="424"/>
      <c r="F334" s="424"/>
      <c r="G334" s="424"/>
      <c r="H334" s="424"/>
      <c r="I334" s="425"/>
      <c r="J334" s="425"/>
      <c r="K334" s="425"/>
      <c r="L334" s="425"/>
      <c r="M334" s="425"/>
      <c r="N334" s="425"/>
      <c r="Q334" s="418"/>
      <c r="R334" s="418"/>
    </row>
    <row r="335" spans="1:18" x14ac:dyDescent="0.2">
      <c r="D335" s="424"/>
      <c r="E335" s="424"/>
      <c r="F335" s="424"/>
      <c r="G335" s="424"/>
      <c r="H335" s="424"/>
      <c r="I335" s="425"/>
      <c r="J335" s="425"/>
      <c r="K335" s="425"/>
      <c r="L335" s="425"/>
      <c r="M335" s="425"/>
      <c r="N335" s="425"/>
      <c r="Q335" s="418"/>
      <c r="R335" s="418"/>
    </row>
    <row r="336" spans="1:18" x14ac:dyDescent="0.2">
      <c r="D336" s="424"/>
      <c r="E336" s="424"/>
      <c r="F336" s="424"/>
      <c r="G336" s="424"/>
      <c r="H336" s="424"/>
      <c r="I336" s="425"/>
      <c r="J336" s="425"/>
      <c r="K336" s="425"/>
      <c r="L336" s="425"/>
      <c r="M336" s="425"/>
      <c r="N336" s="425"/>
      <c r="Q336" s="418"/>
      <c r="R336" s="418"/>
    </row>
    <row r="337" spans="1:18" x14ac:dyDescent="0.2">
      <c r="A337" s="418">
        <v>32</v>
      </c>
      <c r="B337" s="418" t="s">
        <v>1100</v>
      </c>
      <c r="D337" s="433">
        <v>70569</v>
      </c>
      <c r="E337" s="424"/>
      <c r="F337" s="424"/>
      <c r="G337" s="424"/>
      <c r="H337" s="424"/>
      <c r="I337" s="425"/>
      <c r="J337" s="425"/>
      <c r="K337" s="425"/>
      <c r="L337" s="425"/>
      <c r="M337" s="425"/>
      <c r="N337" s="425"/>
      <c r="Q337" s="418"/>
      <c r="R337" s="418"/>
    </row>
    <row r="338" spans="1:18" x14ac:dyDescent="0.2">
      <c r="C338" s="418" t="s">
        <v>1101</v>
      </c>
      <c r="D338" s="424"/>
      <c r="E338" s="433">
        <v>70569</v>
      </c>
      <c r="F338" s="424"/>
      <c r="G338" s="424"/>
      <c r="H338" s="424"/>
      <c r="I338" s="425"/>
      <c r="J338" s="425"/>
      <c r="K338" s="425"/>
      <c r="L338" s="425"/>
      <c r="M338" s="425"/>
      <c r="N338" s="425"/>
      <c r="Q338" s="418"/>
      <c r="R338" s="418"/>
    </row>
    <row r="339" spans="1:18" x14ac:dyDescent="0.2">
      <c r="D339" s="424"/>
      <c r="E339" s="424"/>
      <c r="F339" s="424"/>
      <c r="G339" s="424"/>
      <c r="H339" s="424"/>
      <c r="I339" s="425"/>
      <c r="J339" s="425"/>
      <c r="K339" s="425"/>
      <c r="L339" s="425"/>
      <c r="M339" s="425"/>
      <c r="N339" s="425"/>
      <c r="Q339" s="418"/>
      <c r="R339" s="418"/>
    </row>
    <row r="340" spans="1:18" x14ac:dyDescent="0.2">
      <c r="B340" s="418" t="s">
        <v>1102</v>
      </c>
      <c r="D340" s="424"/>
      <c r="E340" s="424"/>
      <c r="F340" s="424"/>
      <c r="G340" s="424"/>
      <c r="H340" s="424"/>
      <c r="I340" s="425"/>
      <c r="J340" s="425"/>
      <c r="K340" s="425"/>
      <c r="L340" s="425"/>
      <c r="M340" s="425"/>
      <c r="N340" s="425"/>
      <c r="Q340" s="418"/>
      <c r="R340" s="418"/>
    </row>
    <row r="341" spans="1:18" x14ac:dyDescent="0.2">
      <c r="D341" s="424"/>
      <c r="E341" s="424"/>
      <c r="F341" s="424"/>
      <c r="G341" s="424"/>
      <c r="H341" s="424"/>
      <c r="I341" s="425"/>
      <c r="J341" s="425"/>
      <c r="K341" s="425"/>
      <c r="L341" s="425"/>
      <c r="M341" s="425"/>
      <c r="N341" s="425"/>
      <c r="Q341" s="418"/>
      <c r="R341" s="418"/>
    </row>
    <row r="342" spans="1:18" x14ac:dyDescent="0.2">
      <c r="A342" s="476"/>
      <c r="B342" s="476" t="s">
        <v>1157</v>
      </c>
      <c r="C342" s="476"/>
      <c r="D342" s="477"/>
      <c r="E342" s="477"/>
      <c r="F342" s="477"/>
      <c r="G342" s="477"/>
      <c r="H342" s="424"/>
      <c r="I342" s="425"/>
      <c r="J342" s="425"/>
      <c r="K342" s="425"/>
      <c r="L342" s="425"/>
      <c r="M342" s="425"/>
      <c r="N342" s="425"/>
      <c r="Q342" s="418"/>
      <c r="R342" s="418"/>
    </row>
    <row r="343" spans="1:18" x14ac:dyDescent="0.2">
      <c r="A343" s="418">
        <v>33</v>
      </c>
      <c r="B343" s="418" t="s">
        <v>1153</v>
      </c>
      <c r="D343" s="424"/>
      <c r="E343" s="424"/>
      <c r="F343" s="424"/>
      <c r="G343" s="424"/>
      <c r="H343" s="424"/>
      <c r="I343" s="425"/>
      <c r="J343" s="425"/>
      <c r="K343" s="425"/>
      <c r="L343" s="425"/>
      <c r="M343" s="425"/>
      <c r="N343" s="425"/>
      <c r="Q343" s="418"/>
      <c r="R343" s="418"/>
    </row>
    <row r="344" spans="1:18" x14ac:dyDescent="0.2">
      <c r="D344" s="424"/>
      <c r="E344" s="424"/>
      <c r="F344" s="424"/>
      <c r="G344" s="424"/>
      <c r="H344" s="424"/>
      <c r="I344" s="425"/>
      <c r="J344" s="425"/>
      <c r="K344" s="425"/>
      <c r="L344" s="425"/>
      <c r="M344" s="425"/>
      <c r="N344" s="425"/>
      <c r="Q344" s="418"/>
      <c r="R344" s="418"/>
    </row>
    <row r="345" spans="1:18" x14ac:dyDescent="0.2">
      <c r="B345" s="418" t="s">
        <v>1154</v>
      </c>
      <c r="D345" s="478">
        <v>3737805</v>
      </c>
      <c r="E345" s="424"/>
      <c r="F345" s="424"/>
      <c r="G345" s="424"/>
      <c r="H345" s="424" t="s">
        <v>412</v>
      </c>
      <c r="I345" s="425"/>
      <c r="J345" s="425"/>
      <c r="K345" s="425"/>
      <c r="L345" s="425"/>
      <c r="M345" s="425"/>
      <c r="N345" s="425"/>
      <c r="Q345" s="418"/>
      <c r="R345" s="418"/>
    </row>
    <row r="346" spans="1:18" x14ac:dyDescent="0.2">
      <c r="D346" s="424"/>
      <c r="E346" s="424"/>
      <c r="F346" s="424"/>
      <c r="G346" s="424"/>
      <c r="H346" s="424"/>
      <c r="I346" s="425"/>
      <c r="J346" s="425"/>
      <c r="K346" s="425"/>
      <c r="L346" s="425"/>
      <c r="M346" s="425"/>
      <c r="N346" s="425"/>
      <c r="Q346" s="418"/>
      <c r="R346" s="418"/>
    </row>
    <row r="347" spans="1:18" x14ac:dyDescent="0.2">
      <c r="C347" s="418" t="s">
        <v>1155</v>
      </c>
      <c r="D347" s="424"/>
      <c r="E347" s="424"/>
      <c r="F347" s="424"/>
      <c r="G347" s="478">
        <v>3737805</v>
      </c>
      <c r="H347" s="424" t="s">
        <v>412</v>
      </c>
      <c r="I347" s="425"/>
      <c r="J347" s="425"/>
      <c r="K347" s="425"/>
      <c r="L347" s="425"/>
      <c r="M347" s="425"/>
      <c r="N347" s="425"/>
      <c r="Q347" s="418"/>
      <c r="R347" s="418"/>
    </row>
    <row r="348" spans="1:18" x14ac:dyDescent="0.2">
      <c r="D348" s="424"/>
      <c r="E348" s="424"/>
      <c r="F348" s="424"/>
      <c r="G348" s="424"/>
      <c r="H348" s="424"/>
      <c r="I348" s="425"/>
      <c r="J348" s="425"/>
      <c r="K348" s="425"/>
      <c r="L348" s="425"/>
      <c r="M348" s="425"/>
      <c r="N348" s="425"/>
      <c r="Q348" s="418"/>
      <c r="R348" s="418"/>
    </row>
    <row r="349" spans="1:18" x14ac:dyDescent="0.2">
      <c r="B349" s="418" t="s">
        <v>1156</v>
      </c>
      <c r="D349" s="424"/>
      <c r="E349" s="424"/>
      <c r="F349" s="424"/>
      <c r="G349" s="424"/>
      <c r="H349" s="424"/>
      <c r="I349" s="425"/>
      <c r="J349" s="425"/>
      <c r="K349" s="425"/>
      <c r="L349" s="425"/>
      <c r="M349" s="425"/>
      <c r="N349" s="425"/>
      <c r="Q349" s="418"/>
      <c r="R349" s="418"/>
    </row>
    <row r="350" spans="1:18" x14ac:dyDescent="0.2">
      <c r="D350" s="424"/>
      <c r="E350" s="424"/>
      <c r="F350" s="424"/>
      <c r="G350" s="424"/>
      <c r="H350" s="424"/>
      <c r="I350" s="425"/>
      <c r="J350" s="425"/>
      <c r="K350" s="425"/>
      <c r="L350" s="425"/>
      <c r="M350" s="425"/>
      <c r="N350" s="425"/>
      <c r="Q350" s="418"/>
      <c r="R350" s="418"/>
    </row>
    <row r="351" spans="1:18" x14ac:dyDescent="0.2">
      <c r="D351" s="424"/>
      <c r="E351" s="424"/>
      <c r="F351" s="424"/>
      <c r="G351" s="424"/>
      <c r="H351" s="424"/>
      <c r="I351" s="425"/>
      <c r="J351" s="425"/>
      <c r="K351" s="425"/>
      <c r="L351" s="425"/>
      <c r="M351" s="425"/>
      <c r="N351" s="425"/>
      <c r="Q351" s="418"/>
      <c r="R351" s="418"/>
    </row>
    <row r="352" spans="1:18" x14ac:dyDescent="0.2">
      <c r="A352" s="418">
        <v>34</v>
      </c>
      <c r="B352" s="418" t="s">
        <v>1158</v>
      </c>
      <c r="D352" s="424"/>
      <c r="E352" s="424"/>
      <c r="F352" s="424"/>
      <c r="G352" s="424"/>
      <c r="H352" s="424"/>
      <c r="I352" s="425"/>
      <c r="J352" s="425"/>
      <c r="K352" s="425"/>
      <c r="L352" s="425"/>
      <c r="M352" s="425"/>
      <c r="N352" s="425"/>
      <c r="Q352" s="418"/>
      <c r="R352" s="418"/>
    </row>
    <row r="353" spans="1:18" x14ac:dyDescent="0.2">
      <c r="B353" s="418" t="s">
        <v>1159</v>
      </c>
      <c r="D353" s="424"/>
      <c r="E353" s="424"/>
      <c r="F353" s="424"/>
      <c r="G353" s="424"/>
      <c r="H353" s="424"/>
      <c r="I353" s="425"/>
      <c r="J353" s="425"/>
      <c r="K353" s="425"/>
      <c r="L353" s="425"/>
      <c r="M353" s="425"/>
      <c r="N353" s="425"/>
      <c r="Q353" s="418"/>
      <c r="R353" s="418"/>
    </row>
    <row r="354" spans="1:18" x14ac:dyDescent="0.2">
      <c r="D354" s="424"/>
      <c r="E354" s="424"/>
      <c r="F354" s="424"/>
      <c r="G354" s="424"/>
      <c r="H354" s="424"/>
      <c r="I354" s="425"/>
      <c r="J354" s="425"/>
      <c r="K354" s="425"/>
      <c r="L354" s="425"/>
      <c r="M354" s="425"/>
      <c r="N354" s="425"/>
      <c r="Q354" s="418"/>
      <c r="R354" s="418"/>
    </row>
    <row r="355" spans="1:18" x14ac:dyDescent="0.2">
      <c r="B355" s="418" t="s">
        <v>1160</v>
      </c>
      <c r="D355" s="424"/>
      <c r="E355" s="424"/>
      <c r="F355" s="478">
        <v>1966317</v>
      </c>
      <c r="G355" s="424"/>
      <c r="H355" s="424" t="s">
        <v>412</v>
      </c>
      <c r="I355" s="425"/>
      <c r="J355" s="425"/>
      <c r="K355" s="425"/>
      <c r="L355" s="425"/>
      <c r="M355" s="425"/>
      <c r="N355" s="425"/>
      <c r="Q355" s="418"/>
      <c r="R355" s="418"/>
    </row>
    <row r="356" spans="1:18" x14ac:dyDescent="0.2">
      <c r="D356" s="424"/>
      <c r="E356" s="424"/>
      <c r="F356" s="424"/>
      <c r="G356" s="424"/>
      <c r="H356" s="424"/>
      <c r="I356" s="425"/>
      <c r="J356" s="425"/>
      <c r="K356" s="425"/>
      <c r="L356" s="425"/>
      <c r="M356" s="425"/>
      <c r="N356" s="425"/>
      <c r="Q356" s="418"/>
      <c r="R356" s="418"/>
    </row>
    <row r="357" spans="1:18" x14ac:dyDescent="0.2">
      <c r="C357" s="479" t="s">
        <v>131</v>
      </c>
      <c r="D357" s="424"/>
      <c r="E357" s="424"/>
      <c r="F357" s="424"/>
      <c r="G357" s="478">
        <v>1966317</v>
      </c>
      <c r="H357" s="424" t="s">
        <v>412</v>
      </c>
      <c r="I357" s="425"/>
      <c r="J357" s="425"/>
      <c r="K357" s="425"/>
      <c r="L357" s="425"/>
      <c r="M357" s="425"/>
      <c r="N357" s="425"/>
      <c r="Q357" s="418"/>
      <c r="R357" s="418"/>
    </row>
    <row r="358" spans="1:18" x14ac:dyDescent="0.2">
      <c r="D358" s="424"/>
      <c r="E358" s="424"/>
      <c r="F358" s="424"/>
      <c r="G358" s="424"/>
      <c r="H358" s="424"/>
      <c r="I358" s="425"/>
      <c r="J358" s="425"/>
      <c r="K358" s="425"/>
      <c r="L358" s="425"/>
      <c r="M358" s="425"/>
      <c r="N358" s="425"/>
      <c r="Q358" s="418"/>
      <c r="R358" s="418"/>
    </row>
    <row r="359" spans="1:18" x14ac:dyDescent="0.2">
      <c r="B359" s="418" t="s">
        <v>1161</v>
      </c>
      <c r="D359" s="424"/>
      <c r="E359" s="424"/>
      <c r="F359" s="424"/>
      <c r="G359" s="424"/>
      <c r="H359" s="424"/>
      <c r="I359" s="425"/>
      <c r="J359" s="425"/>
      <c r="K359" s="425"/>
      <c r="L359" s="425"/>
      <c r="M359" s="425"/>
      <c r="N359" s="425"/>
      <c r="Q359" s="418"/>
      <c r="R359" s="418"/>
    </row>
    <row r="360" spans="1:18" x14ac:dyDescent="0.2">
      <c r="D360" s="424"/>
      <c r="E360" s="424"/>
      <c r="F360" s="424"/>
      <c r="G360" s="424"/>
      <c r="H360" s="424"/>
      <c r="I360" s="425"/>
      <c r="J360" s="425"/>
      <c r="K360" s="425"/>
      <c r="L360" s="425"/>
      <c r="M360" s="425"/>
      <c r="N360" s="425"/>
      <c r="Q360" s="418"/>
      <c r="R360" s="418"/>
    </row>
    <row r="361" spans="1:18" x14ac:dyDescent="0.2">
      <c r="D361" s="424"/>
      <c r="E361" s="424"/>
      <c r="F361" s="424"/>
      <c r="G361" s="424"/>
      <c r="H361" s="424"/>
      <c r="I361" s="425"/>
      <c r="J361" s="425"/>
      <c r="K361" s="425"/>
      <c r="L361" s="425"/>
      <c r="M361" s="425"/>
      <c r="N361" s="425"/>
      <c r="Q361" s="418"/>
      <c r="R361" s="418"/>
    </row>
    <row r="362" spans="1:18" x14ac:dyDescent="0.2">
      <c r="A362" s="418">
        <v>35</v>
      </c>
      <c r="B362" s="418" t="s">
        <v>1162</v>
      </c>
      <c r="D362" s="424"/>
      <c r="E362" s="424"/>
      <c r="F362" s="424"/>
      <c r="G362" s="424"/>
      <c r="H362" s="424"/>
      <c r="I362" s="425"/>
      <c r="J362" s="425"/>
      <c r="K362" s="425"/>
      <c r="L362" s="425"/>
      <c r="M362" s="425"/>
      <c r="N362" s="425"/>
      <c r="Q362" s="418"/>
      <c r="R362" s="418"/>
    </row>
    <row r="363" spans="1:18" x14ac:dyDescent="0.2">
      <c r="B363" s="418" t="s">
        <v>1163</v>
      </c>
      <c r="D363" s="424"/>
      <c r="E363" s="424"/>
      <c r="F363" s="424"/>
      <c r="G363" s="424"/>
      <c r="H363" s="424"/>
      <c r="I363" s="425"/>
      <c r="J363" s="425"/>
      <c r="K363" s="425"/>
      <c r="L363" s="425"/>
      <c r="M363" s="425"/>
      <c r="N363" s="425"/>
      <c r="Q363" s="418"/>
      <c r="R363" s="418"/>
    </row>
    <row r="364" spans="1:18" x14ac:dyDescent="0.2">
      <c r="D364" s="424"/>
      <c r="E364" s="424"/>
      <c r="F364" s="424"/>
      <c r="G364" s="424"/>
      <c r="H364" s="424"/>
      <c r="I364" s="425"/>
      <c r="J364" s="425"/>
      <c r="K364" s="425"/>
      <c r="L364" s="425"/>
      <c r="M364" s="425"/>
      <c r="N364" s="425"/>
      <c r="Q364" s="418"/>
      <c r="R364" s="418"/>
    </row>
    <row r="365" spans="1:18" x14ac:dyDescent="0.2">
      <c r="B365" s="418" t="s">
        <v>1164</v>
      </c>
      <c r="D365" s="424"/>
      <c r="E365" s="424"/>
      <c r="F365" s="478">
        <v>31002756</v>
      </c>
      <c r="G365" s="424"/>
      <c r="H365" s="424" t="s">
        <v>412</v>
      </c>
      <c r="I365" s="425"/>
      <c r="J365" s="425"/>
      <c r="K365" s="425"/>
      <c r="L365" s="425"/>
      <c r="M365" s="425"/>
      <c r="N365" s="425"/>
      <c r="Q365" s="418"/>
      <c r="R365" s="418"/>
    </row>
    <row r="366" spans="1:18" x14ac:dyDescent="0.2">
      <c r="D366" s="424"/>
      <c r="E366" s="424"/>
      <c r="F366" s="424"/>
      <c r="G366" s="424"/>
      <c r="H366" s="424"/>
      <c r="I366" s="425"/>
      <c r="J366" s="425"/>
      <c r="K366" s="425"/>
      <c r="L366" s="425"/>
      <c r="M366" s="425"/>
      <c r="N366" s="425"/>
      <c r="Q366" s="418"/>
      <c r="R366" s="418"/>
    </row>
    <row r="367" spans="1:18" x14ac:dyDescent="0.2">
      <c r="C367" s="479" t="s">
        <v>131</v>
      </c>
      <c r="D367" s="424"/>
      <c r="E367" s="424"/>
      <c r="F367" s="424"/>
      <c r="G367" s="478">
        <v>31002756</v>
      </c>
      <c r="H367" s="424" t="s">
        <v>412</v>
      </c>
      <c r="I367" s="425"/>
      <c r="J367" s="425"/>
      <c r="K367" s="425"/>
      <c r="L367" s="425"/>
      <c r="M367" s="425"/>
      <c r="N367" s="425"/>
      <c r="Q367" s="418"/>
      <c r="R367" s="418"/>
    </row>
    <row r="368" spans="1:18" x14ac:dyDescent="0.2">
      <c r="D368" s="424"/>
      <c r="E368" s="424"/>
      <c r="F368" s="424"/>
      <c r="G368" s="424"/>
      <c r="H368" s="424"/>
      <c r="I368" s="425"/>
      <c r="J368" s="425"/>
      <c r="K368" s="425"/>
      <c r="L368" s="425"/>
      <c r="M368" s="425"/>
      <c r="N368" s="425"/>
      <c r="Q368" s="418"/>
      <c r="R368" s="418"/>
    </row>
    <row r="369" spans="1:18" x14ac:dyDescent="0.2">
      <c r="B369" s="418" t="s">
        <v>1165</v>
      </c>
      <c r="D369" s="424"/>
      <c r="E369" s="424"/>
      <c r="F369" s="424"/>
      <c r="G369" s="424"/>
      <c r="H369" s="424"/>
      <c r="I369" s="425"/>
      <c r="J369" s="425"/>
      <c r="K369" s="425"/>
      <c r="L369" s="425"/>
      <c r="M369" s="425"/>
      <c r="N369" s="425"/>
      <c r="Q369" s="418"/>
      <c r="R369" s="418"/>
    </row>
    <row r="370" spans="1:18" x14ac:dyDescent="0.2">
      <c r="D370" s="424"/>
      <c r="E370" s="424"/>
      <c r="F370" s="424"/>
      <c r="G370" s="424"/>
      <c r="H370" s="424"/>
      <c r="I370" s="425"/>
      <c r="J370" s="425"/>
      <c r="K370" s="425"/>
      <c r="L370" s="425"/>
      <c r="M370" s="425"/>
      <c r="N370" s="425"/>
      <c r="Q370" s="418"/>
      <c r="R370" s="418"/>
    </row>
    <row r="371" spans="1:18" x14ac:dyDescent="0.2">
      <c r="D371" s="424"/>
      <c r="E371" s="424"/>
      <c r="F371" s="424"/>
      <c r="G371" s="424"/>
      <c r="H371" s="424"/>
      <c r="I371" s="425"/>
      <c r="J371" s="425"/>
      <c r="K371" s="425"/>
      <c r="L371" s="425"/>
      <c r="M371" s="425"/>
      <c r="N371" s="425"/>
      <c r="Q371" s="418"/>
      <c r="R371" s="418"/>
    </row>
    <row r="372" spans="1:18" x14ac:dyDescent="0.2">
      <c r="A372" s="480">
        <v>36</v>
      </c>
      <c r="B372" s="480" t="s">
        <v>1179</v>
      </c>
      <c r="C372" s="480"/>
      <c r="D372" s="424"/>
      <c r="E372" s="424"/>
      <c r="F372" s="481">
        <f>SUM(G373:G375)</f>
        <v>659693</v>
      </c>
      <c r="G372" s="482"/>
      <c r="H372" s="424" t="s">
        <v>412</v>
      </c>
      <c r="I372" s="425"/>
      <c r="J372" s="425"/>
      <c r="K372" s="425"/>
      <c r="L372" s="425"/>
      <c r="M372" s="425"/>
      <c r="N372" s="425"/>
      <c r="Q372" s="418"/>
      <c r="R372" s="418"/>
    </row>
    <row r="373" spans="1:18" x14ac:dyDescent="0.2">
      <c r="B373" s="480"/>
      <c r="C373" s="480" t="s">
        <v>1180</v>
      </c>
      <c r="D373" s="424"/>
      <c r="E373" s="424"/>
      <c r="F373" s="483"/>
      <c r="G373" s="484">
        <v>312841</v>
      </c>
      <c r="H373" s="424" t="s">
        <v>412</v>
      </c>
      <c r="I373" s="425"/>
      <c r="J373" s="425"/>
      <c r="K373" s="425"/>
      <c r="L373" s="425"/>
      <c r="M373" s="425"/>
      <c r="N373" s="425"/>
      <c r="Q373" s="418"/>
      <c r="R373" s="418"/>
    </row>
    <row r="374" spans="1:18" x14ac:dyDescent="0.2">
      <c r="B374" s="480"/>
      <c r="C374" s="480" t="s">
        <v>1181</v>
      </c>
      <c r="D374" s="424"/>
      <c r="E374" s="424"/>
      <c r="F374" s="483"/>
      <c r="G374" s="484">
        <v>215579</v>
      </c>
      <c r="H374" s="424" t="s">
        <v>412</v>
      </c>
      <c r="I374" s="425"/>
      <c r="J374" s="425"/>
      <c r="K374" s="425"/>
      <c r="L374" s="425"/>
      <c r="M374" s="425"/>
      <c r="N374" s="425"/>
      <c r="Q374" s="418"/>
      <c r="R374" s="418"/>
    </row>
    <row r="375" spans="1:18" x14ac:dyDescent="0.2">
      <c r="B375" s="480"/>
      <c r="C375" s="480" t="s">
        <v>1182</v>
      </c>
      <c r="D375" s="424"/>
      <c r="E375" s="424"/>
      <c r="F375" s="483"/>
      <c r="G375" s="484">
        <v>131273</v>
      </c>
      <c r="H375" s="424" t="s">
        <v>412</v>
      </c>
      <c r="I375" s="425"/>
      <c r="J375" s="425"/>
      <c r="K375" s="425"/>
      <c r="L375" s="425"/>
      <c r="M375" s="425"/>
      <c r="N375" s="425"/>
      <c r="Q375" s="418"/>
      <c r="R375" s="418"/>
    </row>
    <row r="376" spans="1:18" x14ac:dyDescent="0.2">
      <c r="D376" s="424"/>
      <c r="E376" s="424"/>
      <c r="F376" s="485"/>
      <c r="G376" s="486"/>
      <c r="H376" s="424"/>
      <c r="I376" s="425"/>
      <c r="J376" s="425"/>
      <c r="K376" s="425"/>
      <c r="L376" s="425"/>
      <c r="M376" s="425"/>
      <c r="N376" s="425"/>
      <c r="Q376" s="418"/>
      <c r="R376" s="418"/>
    </row>
    <row r="377" spans="1:18" x14ac:dyDescent="0.2">
      <c r="B377" s="480" t="s">
        <v>1183</v>
      </c>
      <c r="D377" s="424"/>
      <c r="E377" s="424"/>
      <c r="F377" s="487">
        <f>SUM(F372:F376)</f>
        <v>659693</v>
      </c>
      <c r="G377" s="487">
        <f>SUM(G373:G376)</f>
        <v>659693</v>
      </c>
      <c r="H377" s="424"/>
      <c r="I377" s="425"/>
      <c r="J377" s="425"/>
      <c r="K377" s="425"/>
      <c r="L377" s="425"/>
      <c r="M377" s="425"/>
      <c r="N377" s="425"/>
      <c r="Q377" s="418"/>
      <c r="R377" s="418"/>
    </row>
    <row r="378" spans="1:18" x14ac:dyDescent="0.2">
      <c r="D378" s="424"/>
      <c r="E378" s="424"/>
      <c r="F378" s="424"/>
      <c r="G378" s="424"/>
      <c r="H378" s="424"/>
      <c r="I378" s="425"/>
      <c r="J378" s="425"/>
      <c r="K378" s="425"/>
      <c r="L378" s="425"/>
      <c r="M378" s="425"/>
      <c r="N378" s="425"/>
      <c r="Q378" s="418"/>
      <c r="R378" s="418"/>
    </row>
    <row r="379" spans="1:18" x14ac:dyDescent="0.2">
      <c r="D379" s="424"/>
      <c r="E379" s="424"/>
      <c r="F379" s="424"/>
      <c r="G379" s="424"/>
      <c r="H379" s="424"/>
      <c r="I379" s="425"/>
      <c r="J379" s="425"/>
      <c r="K379" s="425"/>
      <c r="L379" s="425"/>
      <c r="M379" s="425"/>
      <c r="N379" s="425"/>
      <c r="Q379" s="418"/>
      <c r="R379" s="418"/>
    </row>
    <row r="380" spans="1:18" x14ac:dyDescent="0.2">
      <c r="A380" s="480">
        <v>37</v>
      </c>
      <c r="B380" s="480" t="s">
        <v>1184</v>
      </c>
      <c r="C380" s="480"/>
      <c r="D380" s="488">
        <v>2914087</v>
      </c>
      <c r="E380" s="424"/>
      <c r="F380" s="424"/>
      <c r="G380" s="424"/>
      <c r="H380" s="424" t="s">
        <v>412</v>
      </c>
      <c r="I380" s="425"/>
      <c r="J380" s="425"/>
      <c r="K380" s="425"/>
      <c r="L380" s="425"/>
      <c r="M380" s="425"/>
      <c r="N380" s="425"/>
      <c r="Q380" s="418"/>
      <c r="R380" s="418"/>
    </row>
    <row r="381" spans="1:18" x14ac:dyDescent="0.2">
      <c r="A381" s="480"/>
      <c r="B381" s="480"/>
      <c r="C381" s="480" t="s">
        <v>1185</v>
      </c>
      <c r="D381" s="424"/>
      <c r="E381" s="424"/>
      <c r="F381" s="424"/>
      <c r="G381" s="488">
        <v>2914087</v>
      </c>
      <c r="H381" s="424" t="s">
        <v>412</v>
      </c>
      <c r="I381" s="425"/>
      <c r="J381" s="425"/>
      <c r="K381" s="425"/>
      <c r="L381" s="425"/>
      <c r="M381" s="425"/>
      <c r="N381" s="425"/>
      <c r="Q381" s="418"/>
      <c r="R381" s="418"/>
    </row>
    <row r="382" spans="1:18" x14ac:dyDescent="0.2">
      <c r="A382" s="480"/>
      <c r="B382" s="480"/>
      <c r="C382" s="480"/>
      <c r="D382" s="424"/>
      <c r="E382" s="424"/>
      <c r="F382" s="424"/>
      <c r="G382" s="424"/>
      <c r="H382" s="424"/>
      <c r="I382" s="425"/>
      <c r="J382" s="425"/>
      <c r="K382" s="425"/>
      <c r="L382" s="425"/>
      <c r="M382" s="425"/>
      <c r="N382" s="425"/>
      <c r="Q382" s="418"/>
      <c r="R382" s="418"/>
    </row>
    <row r="383" spans="1:18" x14ac:dyDescent="0.2">
      <c r="A383" s="480"/>
      <c r="B383" s="480" t="s">
        <v>1186</v>
      </c>
      <c r="C383" s="480"/>
      <c r="D383" s="424"/>
      <c r="E383" s="424"/>
      <c r="F383" s="424"/>
      <c r="G383" s="424"/>
      <c r="H383" s="424"/>
      <c r="I383" s="425"/>
      <c r="J383" s="425"/>
      <c r="K383" s="425"/>
      <c r="L383" s="425"/>
      <c r="M383" s="425"/>
      <c r="N383" s="425"/>
      <c r="Q383" s="418"/>
      <c r="R383" s="418"/>
    </row>
    <row r="384" spans="1:18" x14ac:dyDescent="0.2">
      <c r="A384" s="480"/>
      <c r="D384" s="424"/>
      <c r="E384" s="424"/>
      <c r="F384" s="424"/>
      <c r="G384" s="424"/>
      <c r="H384" s="424"/>
      <c r="I384" s="425"/>
      <c r="J384" s="425"/>
      <c r="K384" s="425"/>
      <c r="L384" s="425"/>
      <c r="M384" s="425"/>
      <c r="N384" s="425"/>
      <c r="Q384" s="418"/>
      <c r="R384" s="418"/>
    </row>
    <row r="385" spans="1:18" x14ac:dyDescent="0.2">
      <c r="A385" s="480"/>
      <c r="D385" s="424"/>
      <c r="E385" s="424"/>
      <c r="F385" s="424"/>
      <c r="G385" s="424"/>
      <c r="H385" s="424"/>
      <c r="I385" s="425"/>
      <c r="J385" s="425"/>
      <c r="K385" s="425"/>
      <c r="L385" s="425"/>
      <c r="M385" s="425"/>
      <c r="N385" s="425"/>
      <c r="Q385" s="418"/>
      <c r="R385" s="418"/>
    </row>
    <row r="386" spans="1:18" x14ac:dyDescent="0.2">
      <c r="A386" s="480">
        <v>38</v>
      </c>
      <c r="B386" s="480" t="s">
        <v>1187</v>
      </c>
      <c r="C386" s="480"/>
      <c r="D386" s="481">
        <v>7440661</v>
      </c>
      <c r="E386" s="424"/>
      <c r="F386" s="424"/>
      <c r="G386" s="489"/>
      <c r="H386" s="424" t="s">
        <v>412</v>
      </c>
      <c r="I386" s="425"/>
      <c r="J386" s="425"/>
      <c r="K386" s="425"/>
      <c r="L386" s="425"/>
      <c r="M386" s="425"/>
      <c r="N386" s="425"/>
      <c r="Q386" s="418"/>
      <c r="R386" s="418"/>
    </row>
    <row r="387" spans="1:18" x14ac:dyDescent="0.2">
      <c r="A387" s="480"/>
      <c r="B387" s="480"/>
      <c r="C387" s="480" t="s">
        <v>1188</v>
      </c>
      <c r="D387" s="483"/>
      <c r="E387" s="424"/>
      <c r="F387" s="424"/>
      <c r="G387" s="490">
        <v>7440661</v>
      </c>
      <c r="H387" s="424" t="s">
        <v>412</v>
      </c>
      <c r="I387" s="425"/>
      <c r="J387" s="425"/>
      <c r="K387" s="425"/>
      <c r="L387" s="425"/>
      <c r="M387" s="425"/>
      <c r="N387" s="425"/>
      <c r="Q387" s="418"/>
      <c r="R387" s="418"/>
    </row>
    <row r="388" spans="1:18" x14ac:dyDescent="0.2">
      <c r="A388" s="480"/>
      <c r="B388" s="480" t="s">
        <v>1189</v>
      </c>
      <c r="C388" s="480"/>
      <c r="D388" s="490">
        <v>471916</v>
      </c>
      <c r="E388" s="424"/>
      <c r="F388" s="424"/>
      <c r="G388" s="483"/>
      <c r="H388" s="424" t="s">
        <v>412</v>
      </c>
      <c r="I388" s="425"/>
      <c r="J388" s="425"/>
      <c r="K388" s="425"/>
      <c r="L388" s="425"/>
      <c r="M388" s="425"/>
      <c r="N388" s="425"/>
      <c r="Q388" s="418"/>
      <c r="R388" s="418"/>
    </row>
    <row r="389" spans="1:18" x14ac:dyDescent="0.2">
      <c r="A389" s="480"/>
      <c r="B389" s="480"/>
      <c r="C389" s="480" t="s">
        <v>1190</v>
      </c>
      <c r="D389" s="483"/>
      <c r="E389" s="424"/>
      <c r="F389" s="424"/>
      <c r="G389" s="490">
        <v>471916</v>
      </c>
      <c r="H389" s="424" t="s">
        <v>412</v>
      </c>
      <c r="I389" s="425"/>
      <c r="J389" s="425"/>
      <c r="K389" s="425"/>
      <c r="L389" s="425"/>
      <c r="M389" s="425"/>
      <c r="N389" s="425"/>
      <c r="Q389" s="418"/>
      <c r="R389" s="418"/>
    </row>
    <row r="390" spans="1:18" x14ac:dyDescent="0.2">
      <c r="A390" s="480"/>
      <c r="B390" s="480"/>
      <c r="C390" s="480"/>
      <c r="D390" s="485"/>
      <c r="E390" s="424"/>
      <c r="F390" s="424"/>
      <c r="G390" s="485"/>
      <c r="H390" s="424"/>
      <c r="I390" s="425"/>
      <c r="J390" s="425"/>
      <c r="K390" s="425"/>
      <c r="L390" s="425"/>
      <c r="M390" s="425"/>
      <c r="N390" s="425"/>
      <c r="Q390" s="418"/>
      <c r="R390" s="418"/>
    </row>
    <row r="391" spans="1:18" x14ac:dyDescent="0.2">
      <c r="A391" s="480"/>
      <c r="B391" s="480" t="s">
        <v>1198</v>
      </c>
      <c r="C391" s="480"/>
      <c r="D391" s="487">
        <f>SUM(D386:D390)</f>
        <v>7912577</v>
      </c>
      <c r="E391" s="487"/>
      <c r="F391" s="487"/>
      <c r="G391" s="487">
        <f>SUM(G386:G390)</f>
        <v>7912577</v>
      </c>
      <c r="H391" s="424"/>
      <c r="I391" s="425"/>
      <c r="J391" s="425"/>
      <c r="K391" s="425"/>
      <c r="L391" s="425"/>
      <c r="M391" s="425"/>
      <c r="N391" s="425"/>
      <c r="Q391" s="418"/>
      <c r="R391" s="418"/>
    </row>
    <row r="392" spans="1:18" x14ac:dyDescent="0.2">
      <c r="A392" s="480"/>
      <c r="B392" s="480" t="s">
        <v>1199</v>
      </c>
      <c r="C392" s="480"/>
      <c r="D392" s="424"/>
      <c r="E392" s="424"/>
      <c r="F392" s="424"/>
      <c r="G392" s="424"/>
      <c r="H392" s="424"/>
      <c r="I392" s="425"/>
      <c r="J392" s="425"/>
      <c r="K392" s="425"/>
      <c r="L392" s="425"/>
      <c r="M392" s="425"/>
      <c r="N392" s="425"/>
      <c r="Q392" s="418"/>
      <c r="R392" s="418"/>
    </row>
    <row r="393" spans="1:18" x14ac:dyDescent="0.2">
      <c r="A393" s="480"/>
      <c r="D393" s="424"/>
      <c r="E393" s="424"/>
      <c r="F393" s="424"/>
      <c r="G393" s="424"/>
      <c r="H393" s="424"/>
      <c r="I393" s="425"/>
      <c r="J393" s="425"/>
      <c r="K393" s="425"/>
      <c r="L393" s="425"/>
      <c r="M393" s="425"/>
      <c r="N393" s="425"/>
      <c r="Q393" s="418"/>
      <c r="R393" s="418"/>
    </row>
    <row r="394" spans="1:18" x14ac:dyDescent="0.2">
      <c r="A394" s="480">
        <v>39</v>
      </c>
      <c r="B394" s="480" t="s">
        <v>1196</v>
      </c>
      <c r="C394" s="480"/>
      <c r="D394" s="481">
        <v>90387</v>
      </c>
      <c r="E394" s="482"/>
      <c r="F394" s="482"/>
      <c r="G394" s="482"/>
      <c r="H394" s="424" t="s">
        <v>412</v>
      </c>
      <c r="I394" s="425"/>
      <c r="J394" s="425"/>
      <c r="K394" s="425"/>
      <c r="L394" s="425"/>
      <c r="M394" s="425"/>
      <c r="N394" s="425"/>
      <c r="Q394" s="418"/>
      <c r="R394" s="418"/>
    </row>
    <row r="395" spans="1:18" x14ac:dyDescent="0.2">
      <c r="A395" s="480"/>
      <c r="B395" s="480"/>
      <c r="C395" s="480" t="s">
        <v>1195</v>
      </c>
      <c r="D395" s="483"/>
      <c r="E395" s="491"/>
      <c r="F395" s="491"/>
      <c r="G395" s="484">
        <v>90387</v>
      </c>
      <c r="H395" s="424" t="s">
        <v>412</v>
      </c>
      <c r="I395" s="425"/>
      <c r="J395" s="425"/>
      <c r="K395" s="425"/>
      <c r="L395" s="425"/>
      <c r="M395" s="425"/>
      <c r="N395" s="425"/>
      <c r="Q395" s="418"/>
      <c r="R395" s="418"/>
    </row>
    <row r="396" spans="1:18" x14ac:dyDescent="0.2">
      <c r="A396" s="480"/>
      <c r="B396" s="480"/>
      <c r="C396" s="480" t="s">
        <v>1194</v>
      </c>
      <c r="D396" s="483"/>
      <c r="E396" s="484">
        <v>21693</v>
      </c>
      <c r="F396" s="491"/>
      <c r="G396" s="491"/>
      <c r="H396" s="424" t="s">
        <v>412</v>
      </c>
      <c r="I396" s="425"/>
      <c r="J396" s="425"/>
      <c r="K396" s="425"/>
      <c r="L396" s="425"/>
      <c r="M396" s="425"/>
      <c r="N396" s="425"/>
      <c r="Q396" s="418"/>
      <c r="R396" s="418"/>
    </row>
    <row r="397" spans="1:18" x14ac:dyDescent="0.2">
      <c r="A397" s="480"/>
      <c r="B397" s="480" t="s">
        <v>1191</v>
      </c>
      <c r="C397" s="480"/>
      <c r="D397" s="483"/>
      <c r="E397" s="491"/>
      <c r="F397" s="484">
        <v>21693</v>
      </c>
      <c r="G397" s="491"/>
      <c r="H397" s="424" t="s">
        <v>412</v>
      </c>
      <c r="I397" s="425"/>
      <c r="J397" s="425"/>
      <c r="K397" s="425"/>
      <c r="L397" s="425"/>
      <c r="M397" s="425"/>
      <c r="N397" s="425"/>
      <c r="Q397" s="418"/>
      <c r="R397" s="418"/>
    </row>
    <row r="398" spans="1:18" x14ac:dyDescent="0.2">
      <c r="A398" s="480"/>
      <c r="B398" s="480"/>
      <c r="C398" s="480"/>
      <c r="D398" s="483"/>
      <c r="E398" s="491"/>
      <c r="F398" s="491"/>
      <c r="G398" s="491"/>
      <c r="H398" s="424"/>
      <c r="I398" s="425"/>
      <c r="J398" s="425"/>
      <c r="K398" s="425"/>
      <c r="L398" s="425"/>
      <c r="M398" s="425"/>
      <c r="N398" s="425"/>
      <c r="Q398" s="418"/>
      <c r="R398" s="418"/>
    </row>
    <row r="399" spans="1:18" x14ac:dyDescent="0.2">
      <c r="A399" s="480"/>
      <c r="B399" s="480" t="s">
        <v>1192</v>
      </c>
      <c r="C399" s="480"/>
      <c r="D399" s="490">
        <f>3075+470+2319</f>
        <v>5864</v>
      </c>
      <c r="E399" s="491"/>
      <c r="F399" s="491"/>
      <c r="G399" s="491"/>
      <c r="H399" s="424" t="s">
        <v>412</v>
      </c>
      <c r="I399" s="425"/>
      <c r="J399" s="425"/>
      <c r="K399" s="425"/>
      <c r="L399" s="425"/>
      <c r="M399" s="425"/>
      <c r="N399" s="425"/>
      <c r="Q399" s="418"/>
      <c r="R399" s="418"/>
    </row>
    <row r="400" spans="1:18" x14ac:dyDescent="0.2">
      <c r="A400" s="480"/>
      <c r="B400" s="480"/>
      <c r="C400" s="480" t="s">
        <v>1197</v>
      </c>
      <c r="D400" s="483"/>
      <c r="E400" s="491"/>
      <c r="F400" s="491"/>
      <c r="G400" s="484">
        <v>5864</v>
      </c>
      <c r="H400" s="424" t="s">
        <v>412</v>
      </c>
      <c r="I400" s="425"/>
      <c r="J400" s="425"/>
      <c r="K400" s="425"/>
      <c r="L400" s="425"/>
      <c r="M400" s="425"/>
      <c r="N400" s="425"/>
      <c r="Q400" s="418"/>
      <c r="R400" s="418"/>
    </row>
    <row r="401" spans="1:18" x14ac:dyDescent="0.2">
      <c r="A401" s="480"/>
      <c r="B401" s="480"/>
      <c r="C401" s="480" t="s">
        <v>1194</v>
      </c>
      <c r="D401" s="483"/>
      <c r="E401" s="484">
        <v>1407</v>
      </c>
      <c r="F401" s="491"/>
      <c r="G401" s="491"/>
      <c r="H401" s="424" t="s">
        <v>412</v>
      </c>
      <c r="I401" s="425"/>
      <c r="J401" s="425"/>
      <c r="K401" s="425"/>
      <c r="L401" s="425"/>
      <c r="M401" s="425"/>
      <c r="N401" s="425"/>
      <c r="Q401" s="418"/>
      <c r="R401" s="418"/>
    </row>
    <row r="402" spans="1:18" x14ac:dyDescent="0.2">
      <c r="A402" s="480"/>
      <c r="B402" s="480" t="s">
        <v>1193</v>
      </c>
      <c r="C402" s="480"/>
      <c r="D402" s="485"/>
      <c r="E402" s="486"/>
      <c r="F402" s="492">
        <v>1407</v>
      </c>
      <c r="G402" s="486"/>
      <c r="H402" s="424" t="s">
        <v>412</v>
      </c>
      <c r="I402" s="425"/>
      <c r="J402" s="425"/>
      <c r="K402" s="425"/>
      <c r="L402" s="425"/>
      <c r="M402" s="425"/>
      <c r="N402" s="425"/>
      <c r="Q402" s="418"/>
      <c r="R402" s="418"/>
    </row>
    <row r="403" spans="1:18" x14ac:dyDescent="0.2">
      <c r="D403" s="487">
        <f>SUM(D394:D402)</f>
        <v>96251</v>
      </c>
      <c r="E403" s="487">
        <f>SUM(E394:E402)</f>
        <v>23100</v>
      </c>
      <c r="F403" s="487">
        <f>SUM(F394:F402)</f>
        <v>23100</v>
      </c>
      <c r="G403" s="487">
        <f>SUM(G394:G402)</f>
        <v>96251</v>
      </c>
      <c r="H403" s="424"/>
      <c r="I403" s="425"/>
      <c r="J403" s="425"/>
      <c r="K403" s="425"/>
      <c r="L403" s="425"/>
      <c r="M403" s="425"/>
      <c r="N403" s="425"/>
      <c r="Q403" s="418"/>
      <c r="R403" s="418"/>
    </row>
    <row r="404" spans="1:18" x14ac:dyDescent="0.2">
      <c r="B404" s="480" t="s">
        <v>1200</v>
      </c>
      <c r="D404" s="424"/>
      <c r="E404" s="424"/>
      <c r="F404" s="424"/>
      <c r="G404" s="424"/>
      <c r="H404" s="424"/>
      <c r="I404" s="425"/>
      <c r="J404" s="425"/>
      <c r="K404" s="425"/>
      <c r="L404" s="425"/>
      <c r="M404" s="425"/>
      <c r="N404" s="425"/>
      <c r="Q404" s="418"/>
      <c r="R404" s="418"/>
    </row>
    <row r="405" spans="1:18" x14ac:dyDescent="0.2">
      <c r="B405" s="480" t="s">
        <v>1201</v>
      </c>
      <c r="D405" s="424"/>
      <c r="E405" s="424"/>
      <c r="F405" s="424"/>
      <c r="G405" s="424"/>
      <c r="H405" s="424"/>
      <c r="I405" s="425"/>
      <c r="J405" s="425"/>
      <c r="K405" s="425"/>
      <c r="L405" s="425"/>
      <c r="M405" s="425"/>
      <c r="N405" s="425"/>
      <c r="Q405" s="418"/>
      <c r="R405" s="418"/>
    </row>
    <row r="406" spans="1:18" x14ac:dyDescent="0.2">
      <c r="D406" s="424"/>
      <c r="E406" s="424"/>
      <c r="F406" s="424"/>
      <c r="G406" s="424"/>
      <c r="H406" s="424"/>
      <c r="I406" s="425"/>
      <c r="J406" s="425"/>
      <c r="K406" s="425"/>
      <c r="L406" s="425"/>
      <c r="M406" s="425"/>
      <c r="N406" s="425"/>
      <c r="Q406" s="418"/>
      <c r="R406" s="418"/>
    </row>
    <row r="407" spans="1:18" x14ac:dyDescent="0.2">
      <c r="A407" s="480">
        <v>40</v>
      </c>
      <c r="B407" s="480" t="s">
        <v>1202</v>
      </c>
      <c r="C407" s="480"/>
      <c r="D407" s="424"/>
      <c r="E407" s="424"/>
      <c r="F407" s="488">
        <v>73151</v>
      </c>
      <c r="G407" s="424"/>
      <c r="H407" s="424" t="s">
        <v>412</v>
      </c>
      <c r="I407" s="425"/>
      <c r="J407" s="425"/>
      <c r="K407" s="425"/>
      <c r="L407" s="425"/>
      <c r="M407" s="425"/>
      <c r="N407" s="425"/>
      <c r="Q407" s="418"/>
      <c r="R407" s="418"/>
    </row>
    <row r="408" spans="1:18" x14ac:dyDescent="0.2">
      <c r="B408" s="480"/>
      <c r="C408" s="480" t="s">
        <v>388</v>
      </c>
      <c r="D408" s="424"/>
      <c r="E408" s="424"/>
      <c r="F408" s="424"/>
      <c r="G408" s="488">
        <v>73151</v>
      </c>
      <c r="H408" s="424" t="s">
        <v>412</v>
      </c>
      <c r="I408" s="425"/>
      <c r="J408" s="425"/>
      <c r="K408" s="425"/>
      <c r="L408" s="425"/>
      <c r="M408" s="425"/>
      <c r="N408" s="425"/>
      <c r="Q408" s="418"/>
      <c r="R408" s="418"/>
    </row>
    <row r="409" spans="1:18" x14ac:dyDescent="0.2">
      <c r="D409" s="424"/>
      <c r="E409" s="424"/>
      <c r="F409" s="424"/>
      <c r="G409" s="424"/>
      <c r="H409" s="424"/>
      <c r="I409" s="425"/>
      <c r="J409" s="425"/>
      <c r="K409" s="425"/>
      <c r="L409" s="425"/>
      <c r="M409" s="425"/>
      <c r="N409" s="425"/>
      <c r="Q409" s="418"/>
      <c r="R409" s="418"/>
    </row>
    <row r="410" spans="1:18" x14ac:dyDescent="0.2">
      <c r="B410" s="418" t="s">
        <v>1203</v>
      </c>
      <c r="D410" s="424"/>
      <c r="E410" s="424"/>
      <c r="F410" s="424"/>
      <c r="G410" s="424"/>
      <c r="H410" s="424"/>
      <c r="I410" s="425"/>
      <c r="J410" s="425"/>
      <c r="K410" s="425"/>
      <c r="L410" s="425"/>
      <c r="M410" s="425"/>
      <c r="N410" s="425"/>
      <c r="Q410" s="418"/>
      <c r="R410" s="418"/>
    </row>
    <row r="411" spans="1:18" x14ac:dyDescent="0.2">
      <c r="D411" s="424"/>
      <c r="E411" s="424"/>
      <c r="F411" s="424"/>
      <c r="G411" s="424"/>
      <c r="H411" s="424"/>
      <c r="I411" s="425"/>
      <c r="J411" s="425"/>
      <c r="K411" s="425"/>
      <c r="L411" s="425"/>
      <c r="M411" s="425"/>
      <c r="N411" s="425"/>
      <c r="Q411" s="418"/>
      <c r="R411" s="418"/>
    </row>
    <row r="412" spans="1:18" x14ac:dyDescent="0.2">
      <c r="B412" s="493" t="s">
        <v>1132</v>
      </c>
      <c r="C412" s="476"/>
      <c r="D412" s="424"/>
      <c r="E412" s="424"/>
      <c r="F412" s="424"/>
      <c r="G412" s="424"/>
      <c r="H412" s="424"/>
      <c r="I412" s="425"/>
      <c r="J412" s="425"/>
      <c r="K412" s="425"/>
      <c r="L412" s="425"/>
      <c r="M412" s="425"/>
      <c r="N412" s="425"/>
      <c r="Q412" s="418"/>
      <c r="R412" s="418"/>
    </row>
    <row r="413" spans="1:18" x14ac:dyDescent="0.2">
      <c r="D413" s="424"/>
      <c r="E413" s="424"/>
      <c r="F413" s="424"/>
      <c r="G413" s="424"/>
      <c r="H413" s="424"/>
      <c r="I413" s="425"/>
      <c r="J413" s="425"/>
      <c r="K413" s="425"/>
      <c r="L413" s="425"/>
      <c r="M413" s="425"/>
      <c r="N413" s="425"/>
      <c r="Q413" s="418"/>
      <c r="R413" s="418"/>
    </row>
    <row r="414" spans="1:18" x14ac:dyDescent="0.2">
      <c r="B414" s="432" t="s">
        <v>1128</v>
      </c>
      <c r="D414" s="424"/>
      <c r="E414" s="424"/>
      <c r="F414" s="424"/>
      <c r="G414" s="424"/>
      <c r="H414" s="424"/>
      <c r="I414" s="425"/>
      <c r="J414" s="425"/>
      <c r="K414" s="425"/>
      <c r="L414" s="425"/>
      <c r="M414" s="425"/>
      <c r="N414" s="425"/>
      <c r="Q414" s="418"/>
      <c r="R414" s="418"/>
    </row>
    <row r="415" spans="1:18" x14ac:dyDescent="0.2">
      <c r="D415" s="424"/>
      <c r="E415" s="424"/>
      <c r="F415" s="424"/>
      <c r="G415" s="424"/>
      <c r="H415" s="424"/>
      <c r="I415" s="425"/>
      <c r="J415" s="425"/>
      <c r="K415" s="425"/>
      <c r="L415" s="425"/>
      <c r="M415" s="425"/>
      <c r="N415" s="425"/>
      <c r="Q415" s="418"/>
      <c r="R415" s="418"/>
    </row>
    <row r="416" spans="1:18" x14ac:dyDescent="0.2">
      <c r="A416" s="418">
        <v>1</v>
      </c>
      <c r="B416" s="418" t="s">
        <v>1129</v>
      </c>
      <c r="D416" s="424">
        <v>367316</v>
      </c>
      <c r="E416" s="424"/>
      <c r="F416" s="424"/>
      <c r="G416" s="424"/>
      <c r="H416" s="424"/>
      <c r="I416" s="425"/>
      <c r="J416" s="425"/>
      <c r="K416" s="425"/>
      <c r="L416" s="425"/>
      <c r="M416" s="425"/>
      <c r="N416" s="425"/>
      <c r="Q416" s="418"/>
      <c r="R416" s="418"/>
    </row>
    <row r="417" spans="1:18" x14ac:dyDescent="0.2">
      <c r="D417" s="424"/>
      <c r="E417" s="424"/>
      <c r="F417" s="424"/>
      <c r="G417" s="424"/>
      <c r="H417" s="424"/>
      <c r="I417" s="425"/>
      <c r="J417" s="425"/>
      <c r="K417" s="425"/>
      <c r="L417" s="425"/>
      <c r="M417" s="425"/>
      <c r="N417" s="425"/>
      <c r="Q417" s="418"/>
      <c r="R417" s="418"/>
    </row>
    <row r="418" spans="1:18" x14ac:dyDescent="0.2">
      <c r="C418" s="418" t="s">
        <v>1130</v>
      </c>
      <c r="D418" s="424"/>
      <c r="E418" s="424"/>
      <c r="F418" s="424"/>
      <c r="G418" s="424">
        <v>367316</v>
      </c>
      <c r="H418" s="424"/>
      <c r="I418" s="425"/>
      <c r="J418" s="425"/>
      <c r="K418" s="425"/>
      <c r="L418" s="425"/>
      <c r="M418" s="425"/>
      <c r="N418" s="425"/>
      <c r="Q418" s="418"/>
      <c r="R418" s="418"/>
    </row>
    <row r="419" spans="1:18" x14ac:dyDescent="0.2">
      <c r="D419" s="424"/>
      <c r="E419" s="424"/>
      <c r="F419" s="424"/>
      <c r="G419" s="424"/>
      <c r="H419" s="424"/>
      <c r="I419" s="425"/>
      <c r="J419" s="425"/>
      <c r="K419" s="425"/>
      <c r="L419" s="425"/>
      <c r="M419" s="425"/>
      <c r="N419" s="425"/>
      <c r="Q419" s="418"/>
      <c r="R419" s="418"/>
    </row>
    <row r="420" spans="1:18" x14ac:dyDescent="0.2">
      <c r="B420" s="418" t="s">
        <v>1131</v>
      </c>
      <c r="D420" s="424"/>
      <c r="E420" s="424"/>
      <c r="F420" s="424"/>
      <c r="G420" s="424"/>
      <c r="H420" s="424"/>
      <c r="I420" s="425"/>
      <c r="J420" s="425"/>
      <c r="K420" s="425"/>
      <c r="L420" s="425"/>
      <c r="M420" s="425"/>
      <c r="N420" s="425"/>
      <c r="Q420" s="418"/>
      <c r="R420" s="418"/>
    </row>
    <row r="421" spans="1:18" x14ac:dyDescent="0.2">
      <c r="D421" s="424"/>
      <c r="E421" s="424"/>
      <c r="F421" s="424"/>
      <c r="G421" s="424"/>
      <c r="H421" s="424"/>
      <c r="I421" s="425"/>
      <c r="J421" s="425"/>
      <c r="K421" s="425"/>
      <c r="L421" s="425"/>
      <c r="M421" s="425"/>
      <c r="N421" s="425"/>
      <c r="Q421" s="418"/>
      <c r="R421" s="418"/>
    </row>
    <row r="422" spans="1:18" x14ac:dyDescent="0.2">
      <c r="B422" s="432" t="s">
        <v>1133</v>
      </c>
      <c r="D422" s="424"/>
      <c r="E422" s="424"/>
      <c r="F422" s="424"/>
      <c r="G422" s="424"/>
      <c r="H422" s="424"/>
      <c r="I422" s="425"/>
      <c r="J422" s="425"/>
      <c r="K422" s="425"/>
      <c r="L422" s="425"/>
      <c r="M422" s="425"/>
      <c r="N422" s="425"/>
      <c r="Q422" s="418"/>
      <c r="R422" s="418"/>
    </row>
    <row r="423" spans="1:18" x14ac:dyDescent="0.2">
      <c r="D423" s="424"/>
      <c r="E423" s="424"/>
      <c r="F423" s="424"/>
      <c r="G423" s="424"/>
      <c r="H423" s="424"/>
      <c r="I423" s="425"/>
      <c r="J423" s="425"/>
      <c r="K423" s="425"/>
      <c r="L423" s="425"/>
      <c r="M423" s="425"/>
      <c r="N423" s="425"/>
      <c r="Q423" s="418"/>
      <c r="R423" s="418"/>
    </row>
    <row r="424" spans="1:18" x14ac:dyDescent="0.2">
      <c r="A424" s="418">
        <v>2</v>
      </c>
      <c r="B424" s="418" t="s">
        <v>1134</v>
      </c>
      <c r="D424" s="424">
        <v>423036</v>
      </c>
      <c r="E424" s="424"/>
      <c r="F424" s="424"/>
      <c r="G424" s="424"/>
      <c r="H424" s="424"/>
      <c r="I424" s="425"/>
      <c r="J424" s="425"/>
      <c r="K424" s="425"/>
      <c r="L424" s="425"/>
      <c r="M424" s="425"/>
      <c r="N424" s="425"/>
      <c r="Q424" s="418"/>
      <c r="R424" s="418"/>
    </row>
    <row r="425" spans="1:18" x14ac:dyDescent="0.2">
      <c r="D425" s="424"/>
      <c r="E425" s="424"/>
      <c r="F425" s="424"/>
      <c r="G425" s="424"/>
      <c r="H425" s="424"/>
      <c r="I425" s="425"/>
      <c r="J425" s="425"/>
      <c r="K425" s="425"/>
      <c r="L425" s="425"/>
      <c r="M425" s="425"/>
      <c r="N425" s="425"/>
      <c r="Q425" s="418"/>
      <c r="R425" s="418"/>
    </row>
    <row r="426" spans="1:18" x14ac:dyDescent="0.2">
      <c r="C426" s="418" t="s">
        <v>1135</v>
      </c>
      <c r="D426" s="424"/>
      <c r="E426" s="424"/>
      <c r="F426" s="424"/>
      <c r="G426" s="424">
        <v>423036</v>
      </c>
      <c r="H426" s="424"/>
      <c r="I426" s="425"/>
      <c r="J426" s="425"/>
      <c r="K426" s="425"/>
      <c r="L426" s="425"/>
      <c r="M426" s="425"/>
      <c r="N426" s="425"/>
      <c r="Q426" s="418"/>
      <c r="R426" s="418"/>
    </row>
    <row r="427" spans="1:18" x14ac:dyDescent="0.2">
      <c r="D427" s="424"/>
      <c r="E427" s="424"/>
      <c r="F427" s="424"/>
      <c r="G427" s="424"/>
      <c r="H427" s="424"/>
      <c r="I427" s="425"/>
      <c r="J427" s="425"/>
      <c r="K427" s="425"/>
      <c r="L427" s="425"/>
      <c r="M427" s="425"/>
      <c r="N427" s="425"/>
      <c r="Q427" s="418"/>
      <c r="R427" s="418"/>
    </row>
    <row r="428" spans="1:18" x14ac:dyDescent="0.2">
      <c r="B428" s="418" t="s">
        <v>1136</v>
      </c>
      <c r="D428" s="424"/>
      <c r="E428" s="424"/>
      <c r="F428" s="424"/>
      <c r="G428" s="424"/>
      <c r="H428" s="424"/>
      <c r="I428" s="425"/>
      <c r="J428" s="425"/>
      <c r="K428" s="425"/>
      <c r="L428" s="425"/>
      <c r="M428" s="425"/>
      <c r="N428" s="425"/>
      <c r="Q428" s="418"/>
      <c r="R428" s="418"/>
    </row>
    <row r="429" spans="1:18" x14ac:dyDescent="0.2">
      <c r="D429" s="424"/>
      <c r="E429" s="424"/>
      <c r="F429" s="424"/>
      <c r="G429" s="424"/>
      <c r="H429" s="424"/>
      <c r="I429" s="425"/>
      <c r="J429" s="425"/>
      <c r="K429" s="425"/>
      <c r="L429" s="425"/>
      <c r="M429" s="425"/>
      <c r="N429" s="425"/>
      <c r="Q429" s="418"/>
      <c r="R429" s="418"/>
    </row>
    <row r="430" spans="1:18" x14ac:dyDescent="0.2">
      <c r="D430" s="424"/>
      <c r="E430" s="424"/>
      <c r="F430" s="424"/>
      <c r="G430" s="424"/>
      <c r="H430" s="424"/>
      <c r="I430" s="425"/>
      <c r="J430" s="425"/>
      <c r="K430" s="425"/>
      <c r="L430" s="425"/>
      <c r="M430" s="425"/>
      <c r="N430" s="425"/>
      <c r="Q430" s="418"/>
      <c r="R430" s="418"/>
    </row>
    <row r="431" spans="1:18" x14ac:dyDescent="0.2">
      <c r="D431" s="424"/>
      <c r="E431" s="424"/>
      <c r="F431" s="424"/>
      <c r="G431" s="424"/>
      <c r="H431" s="424"/>
      <c r="I431" s="425"/>
      <c r="J431" s="425"/>
      <c r="K431" s="425"/>
      <c r="L431" s="425"/>
      <c r="M431" s="425"/>
      <c r="N431" s="425"/>
      <c r="Q431" s="418"/>
      <c r="R431" s="418"/>
    </row>
    <row r="432" spans="1:18" x14ac:dyDescent="0.2">
      <c r="D432" s="424"/>
      <c r="E432" s="424"/>
      <c r="F432" s="424"/>
      <c r="G432" s="424"/>
      <c r="H432" s="424"/>
      <c r="I432" s="425"/>
      <c r="J432" s="425"/>
      <c r="K432" s="425"/>
      <c r="L432" s="425"/>
      <c r="M432" s="425"/>
      <c r="N432" s="425"/>
      <c r="Q432" s="418"/>
      <c r="R432" s="418"/>
    </row>
    <row r="433" spans="4:18" x14ac:dyDescent="0.2">
      <c r="D433" s="424"/>
      <c r="E433" s="424"/>
      <c r="F433" s="424"/>
      <c r="G433" s="424"/>
      <c r="H433" s="424"/>
      <c r="I433" s="425"/>
      <c r="J433" s="425"/>
      <c r="K433" s="425"/>
      <c r="L433" s="425"/>
      <c r="M433" s="425"/>
      <c r="N433" s="425"/>
      <c r="Q433" s="418"/>
      <c r="R433" s="418"/>
    </row>
    <row r="434" spans="4:18" x14ac:dyDescent="0.2">
      <c r="D434" s="424"/>
      <c r="E434" s="424"/>
      <c r="F434" s="424"/>
      <c r="G434" s="424"/>
      <c r="H434" s="424"/>
      <c r="I434" s="425"/>
      <c r="J434" s="425"/>
      <c r="K434" s="425"/>
      <c r="L434" s="425"/>
      <c r="M434" s="425"/>
      <c r="N434" s="425"/>
      <c r="Q434" s="418"/>
      <c r="R434" s="418"/>
    </row>
    <row r="435" spans="4:18" x14ac:dyDescent="0.2">
      <c r="D435" s="424"/>
      <c r="E435" s="424"/>
      <c r="F435" s="424"/>
      <c r="G435" s="424"/>
      <c r="H435" s="424"/>
      <c r="I435" s="425"/>
      <c r="J435" s="425"/>
      <c r="K435" s="425"/>
      <c r="L435" s="425"/>
      <c r="M435" s="425"/>
      <c r="N435" s="425"/>
      <c r="Q435" s="418"/>
      <c r="R435" s="418"/>
    </row>
    <row r="436" spans="4:18" x14ac:dyDescent="0.2">
      <c r="D436" s="424"/>
      <c r="E436" s="424"/>
      <c r="F436" s="424"/>
      <c r="G436" s="424"/>
      <c r="H436" s="424"/>
      <c r="I436" s="425"/>
      <c r="J436" s="425"/>
      <c r="K436" s="425"/>
      <c r="L436" s="425"/>
      <c r="M436" s="425"/>
      <c r="N436" s="425"/>
      <c r="Q436" s="418"/>
      <c r="R436" s="418"/>
    </row>
    <row r="437" spans="4:18" x14ac:dyDescent="0.2">
      <c r="D437" s="418"/>
      <c r="E437" s="418"/>
      <c r="F437" s="418"/>
      <c r="G437" s="418"/>
      <c r="H437" s="424"/>
      <c r="I437" s="425"/>
      <c r="J437" s="425"/>
      <c r="K437" s="425"/>
      <c r="L437" s="425"/>
      <c r="M437" s="425"/>
      <c r="N437" s="425"/>
      <c r="Q437" s="418"/>
      <c r="R437" s="418"/>
    </row>
    <row r="438" spans="4:18" x14ac:dyDescent="0.2">
      <c r="D438" s="418"/>
      <c r="E438" s="418"/>
      <c r="F438" s="418"/>
      <c r="G438" s="418"/>
      <c r="H438" s="424"/>
      <c r="I438" s="425"/>
      <c r="J438" s="425"/>
      <c r="K438" s="425"/>
      <c r="L438" s="425"/>
      <c r="M438" s="425"/>
      <c r="N438" s="425"/>
      <c r="Q438" s="418"/>
      <c r="R438" s="418"/>
    </row>
    <row r="439" spans="4:18" x14ac:dyDescent="0.2">
      <c r="D439" s="418"/>
      <c r="E439" s="418"/>
      <c r="F439" s="418"/>
      <c r="G439" s="418"/>
      <c r="H439" s="424"/>
      <c r="I439" s="425"/>
      <c r="J439" s="425"/>
      <c r="K439" s="425"/>
      <c r="L439" s="425"/>
      <c r="M439" s="425"/>
      <c r="N439" s="425"/>
      <c r="Q439" s="418"/>
      <c r="R439" s="418"/>
    </row>
    <row r="440" spans="4:18" x14ac:dyDescent="0.2">
      <c r="D440" s="418"/>
      <c r="E440" s="418"/>
      <c r="F440" s="418"/>
      <c r="G440" s="418"/>
      <c r="H440" s="424"/>
      <c r="I440" s="425"/>
      <c r="J440" s="425"/>
      <c r="K440" s="425"/>
      <c r="L440" s="425"/>
      <c r="M440" s="425"/>
      <c r="N440" s="425"/>
      <c r="Q440" s="418"/>
      <c r="R440" s="418"/>
    </row>
    <row r="441" spans="4:18" x14ac:dyDescent="0.2">
      <c r="D441" s="418"/>
      <c r="E441" s="418"/>
      <c r="F441" s="418"/>
      <c r="G441" s="418"/>
      <c r="H441" s="424"/>
      <c r="I441" s="425"/>
      <c r="J441" s="425"/>
      <c r="K441" s="425"/>
      <c r="L441" s="425"/>
      <c r="M441" s="425"/>
      <c r="N441" s="425"/>
      <c r="Q441" s="418"/>
      <c r="R441" s="418"/>
    </row>
    <row r="442" spans="4:18" x14ac:dyDescent="0.2">
      <c r="D442" s="418"/>
      <c r="E442" s="418"/>
      <c r="F442" s="418"/>
      <c r="G442" s="418"/>
      <c r="H442" s="424"/>
      <c r="I442" s="425"/>
      <c r="J442" s="425"/>
      <c r="K442" s="425"/>
      <c r="L442" s="425"/>
      <c r="M442" s="425"/>
      <c r="N442" s="425"/>
      <c r="Q442" s="418"/>
      <c r="R442" s="418"/>
    </row>
    <row r="443" spans="4:18" x14ac:dyDescent="0.2">
      <c r="D443" s="418"/>
      <c r="E443" s="418"/>
      <c r="F443" s="418"/>
      <c r="G443" s="418"/>
      <c r="H443" s="424"/>
      <c r="I443" s="425"/>
      <c r="J443" s="425"/>
      <c r="K443" s="425"/>
      <c r="L443" s="425"/>
      <c r="M443" s="425"/>
      <c r="N443" s="425"/>
      <c r="Q443" s="418"/>
      <c r="R443" s="418"/>
    </row>
    <row r="444" spans="4:18" x14ac:dyDescent="0.2">
      <c r="D444" s="424"/>
      <c r="E444" s="424"/>
      <c r="F444" s="424"/>
      <c r="G444" s="424"/>
      <c r="H444" s="424"/>
      <c r="I444" s="425"/>
      <c r="J444" s="425"/>
      <c r="K444" s="425"/>
      <c r="L444" s="425"/>
      <c r="M444" s="425"/>
      <c r="N444" s="425"/>
      <c r="Q444" s="418"/>
      <c r="R444" s="418"/>
    </row>
    <row r="445" spans="4:18" x14ac:dyDescent="0.2">
      <c r="D445" s="424"/>
      <c r="E445" s="424"/>
      <c r="F445" s="424"/>
      <c r="G445" s="424"/>
      <c r="H445" s="424"/>
      <c r="I445" s="425"/>
      <c r="J445" s="425"/>
      <c r="K445" s="425"/>
      <c r="L445" s="425"/>
      <c r="M445" s="425"/>
      <c r="N445" s="425"/>
      <c r="Q445" s="418"/>
      <c r="R445" s="418"/>
    </row>
    <row r="446" spans="4:18" x14ac:dyDescent="0.2">
      <c r="D446" s="424"/>
      <c r="E446" s="424"/>
      <c r="F446" s="424"/>
      <c r="G446" s="424"/>
      <c r="H446" s="424"/>
      <c r="I446" s="425"/>
      <c r="J446" s="425"/>
      <c r="K446" s="425"/>
      <c r="L446" s="425"/>
      <c r="M446" s="425"/>
      <c r="N446" s="425"/>
      <c r="Q446" s="418"/>
      <c r="R446" s="418"/>
    </row>
    <row r="447" spans="4:18" x14ac:dyDescent="0.2">
      <c r="D447" s="424"/>
      <c r="E447" s="424"/>
      <c r="F447" s="424"/>
      <c r="G447" s="424"/>
      <c r="H447" s="424"/>
      <c r="I447" s="425"/>
      <c r="J447" s="425"/>
      <c r="K447" s="425"/>
      <c r="L447" s="425"/>
      <c r="M447" s="425"/>
      <c r="N447" s="425"/>
      <c r="Q447" s="418"/>
      <c r="R447" s="418"/>
    </row>
    <row r="448" spans="4:18" x14ac:dyDescent="0.2">
      <c r="D448" s="424"/>
      <c r="E448" s="424"/>
      <c r="F448" s="424"/>
      <c r="G448" s="424"/>
      <c r="H448" s="424"/>
      <c r="I448" s="425"/>
      <c r="J448" s="425"/>
      <c r="K448" s="425"/>
      <c r="L448" s="425"/>
      <c r="M448" s="425"/>
      <c r="N448" s="425"/>
      <c r="Q448" s="418"/>
      <c r="R448" s="418"/>
    </row>
    <row r="449" spans="4:18" x14ac:dyDescent="0.2">
      <c r="D449" s="424"/>
      <c r="E449" s="424"/>
      <c r="F449" s="424"/>
      <c r="G449" s="424"/>
      <c r="H449" s="424"/>
      <c r="I449" s="425"/>
      <c r="J449" s="425"/>
      <c r="K449" s="425"/>
      <c r="L449" s="425"/>
      <c r="M449" s="425"/>
      <c r="N449" s="425"/>
      <c r="Q449" s="418"/>
      <c r="R449" s="418"/>
    </row>
    <row r="450" spans="4:18" x14ac:dyDescent="0.2">
      <c r="D450" s="424"/>
      <c r="E450" s="424"/>
      <c r="F450" s="424"/>
      <c r="G450" s="424"/>
      <c r="H450" s="424"/>
      <c r="I450" s="425"/>
      <c r="J450" s="425"/>
      <c r="K450" s="425"/>
      <c r="L450" s="425"/>
      <c r="M450" s="425"/>
      <c r="N450" s="425"/>
      <c r="Q450" s="418"/>
      <c r="R450" s="418"/>
    </row>
    <row r="451" spans="4:18" x14ac:dyDescent="0.2">
      <c r="D451" s="424"/>
      <c r="E451" s="424"/>
      <c r="F451" s="424"/>
      <c r="G451" s="424"/>
      <c r="H451" s="424"/>
      <c r="I451" s="425"/>
      <c r="J451" s="425"/>
      <c r="K451" s="425"/>
      <c r="L451" s="425"/>
      <c r="M451" s="425"/>
      <c r="N451" s="425"/>
      <c r="Q451" s="418"/>
      <c r="R451" s="418"/>
    </row>
    <row r="452" spans="4:18" x14ac:dyDescent="0.2">
      <c r="D452" s="424"/>
      <c r="E452" s="424"/>
      <c r="F452" s="424"/>
      <c r="G452" s="424"/>
      <c r="H452" s="424"/>
      <c r="I452" s="425"/>
      <c r="J452" s="425"/>
      <c r="K452" s="425"/>
      <c r="L452" s="425"/>
      <c r="M452" s="425"/>
      <c r="N452" s="425"/>
      <c r="Q452" s="418"/>
      <c r="R452" s="418"/>
    </row>
    <row r="453" spans="4:18" x14ac:dyDescent="0.2">
      <c r="D453" s="424"/>
      <c r="E453" s="424"/>
      <c r="F453" s="424"/>
      <c r="G453" s="424"/>
      <c r="H453" s="424"/>
      <c r="I453" s="425"/>
      <c r="J453" s="425"/>
      <c r="K453" s="425"/>
      <c r="L453" s="425"/>
      <c r="M453" s="425"/>
      <c r="N453" s="425"/>
      <c r="Q453" s="418"/>
      <c r="R453" s="418"/>
    </row>
    <row r="454" spans="4:18" x14ac:dyDescent="0.2">
      <c r="D454" s="424"/>
      <c r="E454" s="424"/>
      <c r="F454" s="424"/>
      <c r="G454" s="424"/>
      <c r="H454" s="424"/>
      <c r="I454" s="425"/>
      <c r="J454" s="425"/>
      <c r="K454" s="425"/>
      <c r="L454" s="425"/>
      <c r="M454" s="425"/>
      <c r="N454" s="425"/>
      <c r="Q454" s="418"/>
      <c r="R454" s="418"/>
    </row>
    <row r="455" spans="4:18" x14ac:dyDescent="0.2">
      <c r="D455" s="424"/>
      <c r="E455" s="424"/>
      <c r="F455" s="424"/>
      <c r="G455" s="424"/>
      <c r="H455" s="424"/>
      <c r="I455" s="425"/>
      <c r="J455" s="425"/>
      <c r="K455" s="425"/>
      <c r="L455" s="425"/>
      <c r="M455" s="425"/>
      <c r="N455" s="425"/>
      <c r="Q455" s="418"/>
      <c r="R455" s="418"/>
    </row>
    <row r="456" spans="4:18" x14ac:dyDescent="0.2">
      <c r="D456" s="424"/>
      <c r="E456" s="424"/>
      <c r="F456" s="424"/>
      <c r="G456" s="424"/>
      <c r="H456" s="424"/>
      <c r="I456" s="425"/>
      <c r="J456" s="425"/>
      <c r="K456" s="425"/>
      <c r="L456" s="425"/>
      <c r="M456" s="425"/>
      <c r="N456" s="425"/>
      <c r="Q456" s="418"/>
      <c r="R456" s="418"/>
    </row>
    <row r="457" spans="4:18" x14ac:dyDescent="0.2">
      <c r="D457" s="424"/>
      <c r="E457" s="424"/>
      <c r="F457" s="424"/>
      <c r="G457" s="424"/>
      <c r="H457" s="424"/>
      <c r="I457" s="425"/>
      <c r="J457" s="425"/>
      <c r="K457" s="425"/>
      <c r="L457" s="425"/>
      <c r="M457" s="425"/>
      <c r="N457" s="425"/>
      <c r="Q457" s="418"/>
      <c r="R457" s="418"/>
    </row>
    <row r="458" spans="4:18" x14ac:dyDescent="0.2">
      <c r="D458" s="424"/>
      <c r="E458" s="424"/>
      <c r="F458" s="424"/>
      <c r="G458" s="424"/>
      <c r="H458" s="424"/>
      <c r="I458" s="425"/>
      <c r="J458" s="425"/>
      <c r="K458" s="425"/>
      <c r="L458" s="425"/>
      <c r="M458" s="425"/>
      <c r="N458" s="425"/>
      <c r="Q458" s="418"/>
      <c r="R458" s="418"/>
    </row>
    <row r="459" spans="4:18" x14ac:dyDescent="0.2">
      <c r="D459" s="424"/>
      <c r="E459" s="424"/>
      <c r="F459" s="424"/>
      <c r="G459" s="424"/>
      <c r="H459" s="424"/>
      <c r="I459" s="425"/>
      <c r="J459" s="425"/>
      <c r="K459" s="425"/>
      <c r="L459" s="425"/>
      <c r="M459" s="425"/>
      <c r="N459" s="425"/>
      <c r="Q459" s="418"/>
      <c r="R459" s="418"/>
    </row>
    <row r="460" spans="4:18" x14ac:dyDescent="0.2">
      <c r="D460" s="424"/>
      <c r="E460" s="424"/>
      <c r="F460" s="424"/>
      <c r="G460" s="424"/>
      <c r="H460" s="424"/>
      <c r="I460" s="425"/>
      <c r="J460" s="425"/>
      <c r="K460" s="425"/>
      <c r="L460" s="425"/>
      <c r="M460" s="425"/>
      <c r="N460" s="425"/>
      <c r="Q460" s="418"/>
      <c r="R460" s="418"/>
    </row>
    <row r="461" spans="4:18" x14ac:dyDescent="0.2">
      <c r="D461" s="424"/>
      <c r="E461" s="424"/>
      <c r="F461" s="424"/>
      <c r="G461" s="424"/>
      <c r="H461" s="424"/>
      <c r="I461" s="425"/>
      <c r="J461" s="425"/>
      <c r="K461" s="425"/>
      <c r="L461" s="425"/>
      <c r="M461" s="425"/>
      <c r="N461" s="425"/>
      <c r="Q461" s="418"/>
      <c r="R461" s="418"/>
    </row>
    <row r="462" spans="4:18" x14ac:dyDescent="0.2">
      <c r="D462" s="424"/>
      <c r="E462" s="424"/>
      <c r="F462" s="424"/>
      <c r="G462" s="424"/>
      <c r="H462" s="424"/>
      <c r="I462" s="425"/>
      <c r="J462" s="425"/>
      <c r="K462" s="425"/>
      <c r="L462" s="425"/>
      <c r="M462" s="425"/>
      <c r="N462" s="425"/>
      <c r="Q462" s="418"/>
      <c r="R462" s="418"/>
    </row>
    <row r="463" spans="4:18" x14ac:dyDescent="0.2">
      <c r="D463" s="424"/>
      <c r="E463" s="424"/>
      <c r="F463" s="424"/>
      <c r="G463" s="424"/>
      <c r="H463" s="424"/>
      <c r="I463" s="425"/>
      <c r="J463" s="425"/>
      <c r="K463" s="425"/>
      <c r="L463" s="425"/>
      <c r="M463" s="425"/>
      <c r="N463" s="425"/>
      <c r="Q463" s="418"/>
      <c r="R463" s="418"/>
    </row>
    <row r="464" spans="4:18" x14ac:dyDescent="0.2">
      <c r="D464" s="424"/>
      <c r="E464" s="424"/>
      <c r="F464" s="424"/>
      <c r="G464" s="424"/>
      <c r="H464" s="424"/>
      <c r="I464" s="425"/>
      <c r="J464" s="425"/>
      <c r="K464" s="425"/>
      <c r="L464" s="425"/>
      <c r="M464" s="425"/>
      <c r="N464" s="425"/>
      <c r="Q464" s="418"/>
      <c r="R464" s="418"/>
    </row>
    <row r="465" spans="4:18" x14ac:dyDescent="0.2">
      <c r="D465" s="424"/>
      <c r="E465" s="424"/>
      <c r="F465" s="424"/>
      <c r="G465" s="424"/>
      <c r="H465" s="424"/>
      <c r="I465" s="425"/>
      <c r="J465" s="425"/>
      <c r="K465" s="425"/>
      <c r="L465" s="425"/>
      <c r="M465" s="425"/>
      <c r="N465" s="425"/>
      <c r="Q465" s="418"/>
      <c r="R465" s="418"/>
    </row>
    <row r="466" spans="4:18" x14ac:dyDescent="0.2">
      <c r="D466" s="424"/>
      <c r="E466" s="424"/>
      <c r="F466" s="424"/>
      <c r="G466" s="424"/>
      <c r="H466" s="424"/>
      <c r="I466" s="425"/>
      <c r="J466" s="425"/>
      <c r="K466" s="425"/>
      <c r="L466" s="425"/>
      <c r="M466" s="425"/>
      <c r="N466" s="425"/>
      <c r="Q466" s="418"/>
      <c r="R466" s="418"/>
    </row>
    <row r="467" spans="4:18" x14ac:dyDescent="0.2">
      <c r="D467" s="424"/>
      <c r="E467" s="424"/>
      <c r="F467" s="424"/>
      <c r="G467" s="424"/>
      <c r="H467" s="424"/>
      <c r="I467" s="425"/>
      <c r="J467" s="425"/>
      <c r="K467" s="425"/>
      <c r="L467" s="425"/>
      <c r="M467" s="425"/>
      <c r="N467" s="425"/>
      <c r="Q467" s="418"/>
      <c r="R467" s="418"/>
    </row>
    <row r="468" spans="4:18" x14ac:dyDescent="0.2">
      <c r="D468" s="424"/>
      <c r="E468" s="424"/>
      <c r="F468" s="424"/>
      <c r="G468" s="424"/>
      <c r="H468" s="424"/>
      <c r="I468" s="425"/>
      <c r="J468" s="425"/>
      <c r="K468" s="425"/>
      <c r="L468" s="425"/>
      <c r="M468" s="425"/>
      <c r="N468" s="425"/>
      <c r="Q468" s="418"/>
      <c r="R468" s="418"/>
    </row>
    <row r="469" spans="4:18" x14ac:dyDescent="0.2">
      <c r="D469" s="424"/>
      <c r="E469" s="424"/>
      <c r="F469" s="424"/>
      <c r="G469" s="424"/>
      <c r="H469" s="424"/>
      <c r="I469" s="425"/>
      <c r="J469" s="425"/>
      <c r="K469" s="425"/>
      <c r="L469" s="425"/>
      <c r="M469" s="425"/>
      <c r="N469" s="425"/>
      <c r="Q469" s="418"/>
      <c r="R469" s="418"/>
    </row>
    <row r="470" spans="4:18" x14ac:dyDescent="0.2">
      <c r="D470" s="424"/>
      <c r="E470" s="424"/>
      <c r="F470" s="424"/>
      <c r="G470" s="424"/>
      <c r="H470" s="424"/>
      <c r="I470" s="425"/>
      <c r="J470" s="425"/>
      <c r="K470" s="425"/>
      <c r="L470" s="425"/>
      <c r="M470" s="425"/>
      <c r="N470" s="425"/>
      <c r="Q470" s="418"/>
      <c r="R470" s="418"/>
    </row>
    <row r="471" spans="4:18" x14ac:dyDescent="0.2">
      <c r="D471" s="424"/>
      <c r="E471" s="424"/>
      <c r="F471" s="424"/>
      <c r="G471" s="424"/>
      <c r="H471" s="424"/>
      <c r="I471" s="425"/>
      <c r="J471" s="425"/>
      <c r="K471" s="425"/>
      <c r="L471" s="425"/>
      <c r="M471" s="425"/>
      <c r="N471" s="425"/>
      <c r="Q471" s="418"/>
      <c r="R471" s="418"/>
    </row>
    <row r="472" spans="4:18" x14ac:dyDescent="0.2">
      <c r="D472" s="424"/>
      <c r="E472" s="424"/>
      <c r="F472" s="424"/>
      <c r="G472" s="424"/>
      <c r="H472" s="424"/>
      <c r="I472" s="425"/>
      <c r="J472" s="425"/>
      <c r="K472" s="425"/>
      <c r="L472" s="425"/>
      <c r="M472" s="425"/>
      <c r="N472" s="425"/>
      <c r="Q472" s="418"/>
      <c r="R472" s="418"/>
    </row>
    <row r="473" spans="4:18" x14ac:dyDescent="0.2">
      <c r="D473" s="424"/>
      <c r="E473" s="424"/>
      <c r="F473" s="424"/>
      <c r="G473" s="424"/>
      <c r="H473" s="424"/>
      <c r="I473" s="425"/>
      <c r="J473" s="425"/>
      <c r="K473" s="425"/>
      <c r="L473" s="425"/>
      <c r="M473" s="425"/>
      <c r="N473" s="425"/>
      <c r="Q473" s="418"/>
      <c r="R473" s="418"/>
    </row>
    <row r="474" spans="4:18" x14ac:dyDescent="0.2">
      <c r="D474" s="424"/>
      <c r="E474" s="424"/>
      <c r="F474" s="424"/>
      <c r="G474" s="424"/>
      <c r="H474" s="424"/>
      <c r="I474" s="425"/>
      <c r="J474" s="425"/>
      <c r="K474" s="425"/>
      <c r="L474" s="425"/>
      <c r="M474" s="425"/>
      <c r="N474" s="425"/>
      <c r="Q474" s="418"/>
      <c r="R474" s="418"/>
    </row>
    <row r="475" spans="4:18" x14ac:dyDescent="0.2">
      <c r="D475" s="424"/>
      <c r="E475" s="424"/>
      <c r="F475" s="424"/>
      <c r="G475" s="424"/>
      <c r="H475" s="424"/>
      <c r="I475" s="425"/>
      <c r="J475" s="425"/>
      <c r="K475" s="425"/>
      <c r="L475" s="425"/>
      <c r="M475" s="425"/>
      <c r="N475" s="425"/>
      <c r="Q475" s="418"/>
      <c r="R475" s="418"/>
    </row>
    <row r="476" spans="4:18" x14ac:dyDescent="0.2">
      <c r="D476" s="424"/>
      <c r="E476" s="424"/>
      <c r="F476" s="424"/>
      <c r="G476" s="424"/>
      <c r="H476" s="424"/>
      <c r="I476" s="425"/>
      <c r="J476" s="425"/>
      <c r="K476" s="425"/>
      <c r="L476" s="425"/>
      <c r="M476" s="425"/>
      <c r="N476" s="425"/>
      <c r="Q476" s="418"/>
      <c r="R476" s="418"/>
    </row>
    <row r="477" spans="4:18" x14ac:dyDescent="0.2">
      <c r="D477" s="424"/>
      <c r="E477" s="424"/>
      <c r="F477" s="424"/>
      <c r="G477" s="424"/>
      <c r="H477" s="424"/>
      <c r="I477" s="425"/>
      <c r="J477" s="425"/>
      <c r="K477" s="425"/>
      <c r="L477" s="425"/>
      <c r="M477" s="425"/>
      <c r="N477" s="425"/>
      <c r="Q477" s="418"/>
      <c r="R477" s="418"/>
    </row>
    <row r="478" spans="4:18" x14ac:dyDescent="0.2">
      <c r="D478" s="424"/>
      <c r="E478" s="424"/>
      <c r="F478" s="424"/>
      <c r="G478" s="424"/>
      <c r="H478" s="424"/>
      <c r="I478" s="425"/>
      <c r="J478" s="425"/>
      <c r="K478" s="425"/>
      <c r="L478" s="425"/>
      <c r="M478" s="425"/>
      <c r="N478" s="425"/>
      <c r="Q478" s="418"/>
      <c r="R478" s="418"/>
    </row>
    <row r="479" spans="4:18" x14ac:dyDescent="0.2">
      <c r="D479" s="424"/>
      <c r="E479" s="424"/>
      <c r="F479" s="424"/>
      <c r="G479" s="424"/>
      <c r="H479" s="424"/>
      <c r="I479" s="425"/>
      <c r="J479" s="425"/>
      <c r="K479" s="425"/>
      <c r="L479" s="425"/>
      <c r="M479" s="425"/>
      <c r="N479" s="425"/>
      <c r="Q479" s="418"/>
      <c r="R479" s="418"/>
    </row>
    <row r="480" spans="4:18" x14ac:dyDescent="0.2">
      <c r="D480" s="424"/>
      <c r="E480" s="424"/>
      <c r="F480" s="424"/>
      <c r="G480" s="424"/>
      <c r="H480" s="424"/>
      <c r="I480" s="425"/>
      <c r="J480" s="425"/>
      <c r="K480" s="425"/>
      <c r="L480" s="425"/>
      <c r="M480" s="425"/>
      <c r="N480" s="425"/>
      <c r="Q480" s="418"/>
      <c r="R480" s="418"/>
    </row>
    <row r="481" spans="4:18" x14ac:dyDescent="0.2">
      <c r="D481" s="424"/>
      <c r="E481" s="424"/>
      <c r="F481" s="424"/>
      <c r="G481" s="424"/>
      <c r="H481" s="424"/>
      <c r="I481" s="425"/>
      <c r="J481" s="425"/>
      <c r="K481" s="425"/>
      <c r="L481" s="425"/>
      <c r="M481" s="425"/>
      <c r="N481" s="425"/>
      <c r="Q481" s="418"/>
      <c r="R481" s="418"/>
    </row>
    <row r="482" spans="4:18" x14ac:dyDescent="0.2">
      <c r="D482" s="424"/>
      <c r="E482" s="424"/>
      <c r="F482" s="424"/>
      <c r="G482" s="424"/>
      <c r="H482" s="424"/>
      <c r="I482" s="425"/>
      <c r="J482" s="425"/>
      <c r="K482" s="425"/>
      <c r="L482" s="425"/>
      <c r="M482" s="425"/>
      <c r="N482" s="425"/>
      <c r="Q482" s="418"/>
      <c r="R482" s="418"/>
    </row>
    <row r="483" spans="4:18" x14ac:dyDescent="0.2">
      <c r="D483" s="424"/>
      <c r="E483" s="424"/>
      <c r="F483" s="424"/>
      <c r="G483" s="424"/>
      <c r="H483" s="424"/>
      <c r="I483" s="425"/>
      <c r="J483" s="425"/>
      <c r="K483" s="425"/>
      <c r="L483" s="425"/>
      <c r="M483" s="425"/>
      <c r="N483" s="425"/>
      <c r="Q483" s="418"/>
      <c r="R483" s="418"/>
    </row>
    <row r="484" spans="4:18" x14ac:dyDescent="0.2">
      <c r="D484" s="424"/>
      <c r="E484" s="424"/>
      <c r="F484" s="424"/>
      <c r="G484" s="424"/>
      <c r="H484" s="424"/>
      <c r="I484" s="425"/>
      <c r="J484" s="425"/>
      <c r="K484" s="425"/>
      <c r="L484" s="425"/>
      <c r="M484" s="425"/>
      <c r="N484" s="425"/>
      <c r="Q484" s="418"/>
      <c r="R484" s="418"/>
    </row>
    <row r="485" spans="4:18" x14ac:dyDescent="0.2">
      <c r="D485" s="424"/>
      <c r="E485" s="424"/>
      <c r="F485" s="424"/>
      <c r="G485" s="424"/>
      <c r="H485" s="424"/>
      <c r="I485" s="425"/>
      <c r="J485" s="425"/>
      <c r="K485" s="425"/>
      <c r="L485" s="425"/>
      <c r="M485" s="425"/>
      <c r="N485" s="425"/>
      <c r="Q485" s="418"/>
      <c r="R485" s="418"/>
    </row>
    <row r="486" spans="4:18" x14ac:dyDescent="0.2">
      <c r="D486" s="424"/>
      <c r="E486" s="424"/>
      <c r="F486" s="424"/>
      <c r="G486" s="424"/>
      <c r="H486" s="424"/>
      <c r="I486" s="425"/>
      <c r="J486" s="425"/>
      <c r="K486" s="425"/>
      <c r="L486" s="425"/>
      <c r="M486" s="425"/>
      <c r="N486" s="425"/>
      <c r="Q486" s="418"/>
      <c r="R486" s="418"/>
    </row>
    <row r="487" spans="4:18" x14ac:dyDescent="0.2">
      <c r="D487" s="424"/>
      <c r="E487" s="424"/>
      <c r="F487" s="424"/>
      <c r="G487" s="424"/>
      <c r="H487" s="424"/>
      <c r="I487" s="425"/>
      <c r="J487" s="425"/>
      <c r="K487" s="425"/>
      <c r="L487" s="425"/>
      <c r="M487" s="425"/>
      <c r="N487" s="425"/>
      <c r="Q487" s="418"/>
      <c r="R487" s="418"/>
    </row>
    <row r="488" spans="4:18" x14ac:dyDescent="0.2">
      <c r="D488" s="424"/>
      <c r="E488" s="424"/>
      <c r="F488" s="424"/>
      <c r="G488" s="424"/>
      <c r="H488" s="424"/>
      <c r="I488" s="425"/>
      <c r="J488" s="425"/>
      <c r="K488" s="425"/>
      <c r="L488" s="425"/>
      <c r="M488" s="425"/>
      <c r="N488" s="425"/>
      <c r="Q488" s="418"/>
      <c r="R488" s="418"/>
    </row>
    <row r="489" spans="4:18" x14ac:dyDescent="0.2">
      <c r="D489" s="424"/>
      <c r="E489" s="424"/>
      <c r="F489" s="424"/>
      <c r="G489" s="424"/>
      <c r="H489" s="424"/>
      <c r="I489" s="425"/>
      <c r="J489" s="425"/>
      <c r="K489" s="425"/>
      <c r="L489" s="425"/>
      <c r="M489" s="425"/>
      <c r="N489" s="425"/>
      <c r="Q489" s="418"/>
      <c r="R489" s="418"/>
    </row>
    <row r="490" spans="4:18" x14ac:dyDescent="0.2">
      <c r="D490" s="424"/>
      <c r="E490" s="424"/>
      <c r="F490" s="424"/>
      <c r="G490" s="424"/>
      <c r="H490" s="424"/>
      <c r="I490" s="425"/>
      <c r="J490" s="425"/>
      <c r="K490" s="425"/>
      <c r="L490" s="425"/>
      <c r="M490" s="425"/>
      <c r="N490" s="425"/>
      <c r="Q490" s="418"/>
      <c r="R490" s="418"/>
    </row>
    <row r="491" spans="4:18" x14ac:dyDescent="0.2">
      <c r="D491" s="424"/>
      <c r="E491" s="424"/>
      <c r="F491" s="424"/>
      <c r="G491" s="424"/>
      <c r="H491" s="424"/>
      <c r="I491" s="425"/>
      <c r="J491" s="425"/>
      <c r="K491" s="425"/>
      <c r="L491" s="425"/>
      <c r="M491" s="425"/>
      <c r="N491" s="425"/>
      <c r="Q491" s="418"/>
      <c r="R491" s="418"/>
    </row>
    <row r="492" spans="4:18" x14ac:dyDescent="0.2">
      <c r="D492" s="424"/>
      <c r="E492" s="424"/>
      <c r="F492" s="424"/>
      <c r="G492" s="424"/>
      <c r="H492" s="424"/>
      <c r="I492" s="425"/>
      <c r="J492" s="425"/>
      <c r="K492" s="425"/>
      <c r="L492" s="425"/>
      <c r="M492" s="425"/>
      <c r="N492" s="425"/>
      <c r="Q492" s="418"/>
      <c r="R492" s="418"/>
    </row>
    <row r="493" spans="4:18" x14ac:dyDescent="0.2">
      <c r="D493" s="424"/>
      <c r="E493" s="424"/>
      <c r="F493" s="424"/>
      <c r="G493" s="424"/>
      <c r="H493" s="424"/>
      <c r="I493" s="425"/>
      <c r="J493" s="425"/>
      <c r="K493" s="425"/>
      <c r="L493" s="425"/>
      <c r="M493" s="425"/>
      <c r="N493" s="425"/>
      <c r="Q493" s="418"/>
      <c r="R493" s="418"/>
    </row>
    <row r="494" spans="4:18" x14ac:dyDescent="0.2">
      <c r="D494" s="424"/>
      <c r="E494" s="424"/>
      <c r="F494" s="424"/>
      <c r="G494" s="424"/>
      <c r="H494" s="424"/>
      <c r="I494" s="425"/>
      <c r="J494" s="425"/>
      <c r="K494" s="425"/>
      <c r="L494" s="425"/>
      <c r="M494" s="425"/>
      <c r="N494" s="425"/>
      <c r="Q494" s="418"/>
      <c r="R494" s="418"/>
    </row>
    <row r="495" spans="4:18" x14ac:dyDescent="0.2">
      <c r="D495" s="424"/>
      <c r="E495" s="424"/>
      <c r="F495" s="424"/>
      <c r="G495" s="424"/>
      <c r="H495" s="424"/>
      <c r="I495" s="425"/>
      <c r="J495" s="425"/>
      <c r="K495" s="425"/>
      <c r="L495" s="425"/>
      <c r="M495" s="425"/>
      <c r="N495" s="425"/>
      <c r="Q495" s="418"/>
      <c r="R495" s="418"/>
    </row>
    <row r="496" spans="4:18" x14ac:dyDescent="0.2">
      <c r="D496" s="424"/>
      <c r="E496" s="424"/>
      <c r="F496" s="424"/>
      <c r="G496" s="424"/>
      <c r="H496" s="424"/>
      <c r="I496" s="425"/>
      <c r="J496" s="425"/>
      <c r="K496" s="425"/>
      <c r="L496" s="425"/>
      <c r="M496" s="425"/>
      <c r="N496" s="425"/>
      <c r="Q496" s="418"/>
      <c r="R496" s="418"/>
    </row>
    <row r="497" spans="4:18" x14ac:dyDescent="0.2">
      <c r="D497" s="424"/>
      <c r="E497" s="424"/>
      <c r="F497" s="424"/>
      <c r="G497" s="424"/>
      <c r="H497" s="424"/>
      <c r="I497" s="425"/>
      <c r="J497" s="425"/>
      <c r="K497" s="425"/>
      <c r="L497" s="425"/>
      <c r="M497" s="425"/>
      <c r="N497" s="425"/>
      <c r="Q497" s="418"/>
      <c r="R497" s="418"/>
    </row>
    <row r="498" spans="4:18" x14ac:dyDescent="0.2">
      <c r="D498" s="424"/>
      <c r="E498" s="424"/>
      <c r="F498" s="424"/>
      <c r="G498" s="424"/>
      <c r="H498" s="424"/>
      <c r="I498" s="425"/>
      <c r="J498" s="425"/>
      <c r="K498" s="425"/>
      <c r="L498" s="425"/>
      <c r="M498" s="425"/>
      <c r="N498" s="425"/>
      <c r="Q498" s="418"/>
      <c r="R498" s="418"/>
    </row>
    <row r="499" spans="4:18" x14ac:dyDescent="0.2">
      <c r="D499" s="424"/>
      <c r="E499" s="424"/>
      <c r="F499" s="424"/>
      <c r="G499" s="424"/>
      <c r="H499" s="424"/>
      <c r="I499" s="425"/>
      <c r="J499" s="425"/>
      <c r="K499" s="425"/>
      <c r="L499" s="425"/>
      <c r="M499" s="425"/>
      <c r="N499" s="425"/>
      <c r="Q499" s="418"/>
      <c r="R499" s="418"/>
    </row>
    <row r="500" spans="4:18" x14ac:dyDescent="0.2">
      <c r="D500" s="424"/>
      <c r="E500" s="424"/>
      <c r="F500" s="424"/>
      <c r="G500" s="424"/>
      <c r="H500" s="424"/>
      <c r="I500" s="425"/>
      <c r="J500" s="425"/>
      <c r="K500" s="425"/>
      <c r="L500" s="425"/>
      <c r="M500" s="425"/>
      <c r="N500" s="425"/>
      <c r="Q500" s="418"/>
      <c r="R500" s="418"/>
    </row>
    <row r="501" spans="4:18" x14ac:dyDescent="0.2">
      <c r="D501" s="424"/>
      <c r="E501" s="424"/>
      <c r="F501" s="424"/>
      <c r="G501" s="424"/>
      <c r="H501" s="424"/>
      <c r="I501" s="425"/>
      <c r="J501" s="425"/>
      <c r="K501" s="425"/>
      <c r="L501" s="425"/>
      <c r="M501" s="425"/>
      <c r="N501" s="425"/>
      <c r="Q501" s="418"/>
      <c r="R501" s="418"/>
    </row>
    <row r="502" spans="4:18" x14ac:dyDescent="0.2">
      <c r="D502" s="424"/>
      <c r="E502" s="424"/>
      <c r="F502" s="424"/>
      <c r="G502" s="424"/>
      <c r="H502" s="424"/>
      <c r="I502" s="425"/>
      <c r="J502" s="425"/>
      <c r="K502" s="425"/>
      <c r="L502" s="425"/>
      <c r="M502" s="425"/>
      <c r="N502" s="425"/>
      <c r="Q502" s="418"/>
      <c r="R502" s="418"/>
    </row>
    <row r="503" spans="4:18" x14ac:dyDescent="0.2">
      <c r="D503" s="424"/>
      <c r="E503" s="424"/>
      <c r="F503" s="424"/>
      <c r="G503" s="424"/>
      <c r="H503" s="424"/>
      <c r="I503" s="425"/>
      <c r="J503" s="425"/>
      <c r="K503" s="425"/>
      <c r="L503" s="425"/>
      <c r="M503" s="425"/>
      <c r="N503" s="425"/>
      <c r="Q503" s="418"/>
      <c r="R503" s="418"/>
    </row>
    <row r="504" spans="4:18" x14ac:dyDescent="0.2">
      <c r="D504" s="424"/>
      <c r="E504" s="424"/>
      <c r="F504" s="424"/>
      <c r="G504" s="424"/>
      <c r="H504" s="424"/>
      <c r="I504" s="425"/>
      <c r="J504" s="425"/>
      <c r="K504" s="425"/>
      <c r="L504" s="425"/>
      <c r="M504" s="425"/>
      <c r="N504" s="425"/>
      <c r="Q504" s="418"/>
      <c r="R504" s="418"/>
    </row>
    <row r="505" spans="4:18" x14ac:dyDescent="0.2">
      <c r="D505" s="424"/>
      <c r="E505" s="424"/>
      <c r="F505" s="424"/>
      <c r="G505" s="424"/>
      <c r="H505" s="424"/>
      <c r="I505" s="425"/>
      <c r="J505" s="425"/>
      <c r="K505" s="425"/>
      <c r="L505" s="425"/>
      <c r="M505" s="425"/>
      <c r="N505" s="425"/>
      <c r="Q505" s="418"/>
      <c r="R505" s="418"/>
    </row>
    <row r="506" spans="4:18" x14ac:dyDescent="0.2">
      <c r="D506" s="424"/>
      <c r="E506" s="424"/>
      <c r="F506" s="424"/>
      <c r="G506" s="424"/>
      <c r="H506" s="424"/>
      <c r="I506" s="425"/>
      <c r="J506" s="425"/>
      <c r="K506" s="425"/>
      <c r="L506" s="425"/>
      <c r="M506" s="425"/>
      <c r="N506" s="425"/>
      <c r="Q506" s="418"/>
      <c r="R506" s="418"/>
    </row>
    <row r="507" spans="4:18" x14ac:dyDescent="0.2">
      <c r="D507" s="424"/>
      <c r="E507" s="424"/>
      <c r="F507" s="424"/>
      <c r="G507" s="424"/>
      <c r="H507" s="424"/>
      <c r="I507" s="425"/>
      <c r="J507" s="425"/>
      <c r="K507" s="425"/>
      <c r="L507" s="425"/>
      <c r="M507" s="425"/>
      <c r="N507" s="425"/>
      <c r="Q507" s="418"/>
      <c r="R507" s="418"/>
    </row>
    <row r="508" spans="4:18" x14ac:dyDescent="0.2">
      <c r="D508" s="424"/>
      <c r="E508" s="424"/>
      <c r="F508" s="424"/>
      <c r="G508" s="424"/>
      <c r="H508" s="424"/>
      <c r="I508" s="425"/>
      <c r="J508" s="425"/>
      <c r="K508" s="425"/>
      <c r="L508" s="425"/>
      <c r="M508" s="425"/>
      <c r="N508" s="425"/>
      <c r="Q508" s="418"/>
      <c r="R508" s="418"/>
    </row>
    <row r="509" spans="4:18" x14ac:dyDescent="0.2">
      <c r="D509" s="424"/>
      <c r="E509" s="424"/>
      <c r="F509" s="424"/>
      <c r="G509" s="424"/>
      <c r="H509" s="424"/>
      <c r="I509" s="425"/>
      <c r="J509" s="425"/>
      <c r="K509" s="425"/>
      <c r="L509" s="425"/>
      <c r="M509" s="425"/>
      <c r="N509" s="425"/>
      <c r="Q509" s="418"/>
      <c r="R509" s="418"/>
    </row>
    <row r="510" spans="4:18" x14ac:dyDescent="0.2">
      <c r="D510" s="424"/>
      <c r="E510" s="424"/>
      <c r="F510" s="424"/>
      <c r="G510" s="424"/>
      <c r="H510" s="424"/>
      <c r="I510" s="425"/>
      <c r="J510" s="425"/>
      <c r="K510" s="425"/>
      <c r="L510" s="425"/>
      <c r="M510" s="425"/>
      <c r="N510" s="425"/>
      <c r="Q510" s="418"/>
      <c r="R510" s="418"/>
    </row>
    <row r="511" spans="4:18" x14ac:dyDescent="0.2">
      <c r="D511" s="424"/>
      <c r="E511" s="424"/>
      <c r="F511" s="424"/>
      <c r="G511" s="424"/>
      <c r="H511" s="424"/>
      <c r="I511" s="425"/>
      <c r="J511" s="425"/>
      <c r="K511" s="425"/>
      <c r="L511" s="425"/>
      <c r="M511" s="425"/>
      <c r="N511" s="425"/>
      <c r="Q511" s="418"/>
      <c r="R511" s="418"/>
    </row>
    <row r="512" spans="4:18" x14ac:dyDescent="0.2">
      <c r="D512" s="424"/>
      <c r="E512" s="424"/>
      <c r="F512" s="424"/>
      <c r="G512" s="424"/>
      <c r="H512" s="424"/>
      <c r="I512" s="425"/>
      <c r="J512" s="425"/>
      <c r="K512" s="425"/>
      <c r="L512" s="425"/>
      <c r="M512" s="425"/>
      <c r="N512" s="425"/>
      <c r="Q512" s="418"/>
      <c r="R512" s="418"/>
    </row>
    <row r="513" spans="4:18" x14ac:dyDescent="0.2">
      <c r="D513" s="424"/>
      <c r="E513" s="424"/>
      <c r="F513" s="424"/>
      <c r="G513" s="424"/>
      <c r="H513" s="424"/>
      <c r="I513" s="425"/>
      <c r="J513" s="425"/>
      <c r="K513" s="425"/>
      <c r="L513" s="425"/>
      <c r="M513" s="425"/>
      <c r="N513" s="425"/>
      <c r="Q513" s="418"/>
      <c r="R513" s="418"/>
    </row>
    <row r="514" spans="4:18" x14ac:dyDescent="0.2">
      <c r="D514" s="424"/>
      <c r="E514" s="424"/>
      <c r="F514" s="424"/>
      <c r="G514" s="424"/>
      <c r="H514" s="424"/>
      <c r="I514" s="425"/>
      <c r="J514" s="425"/>
      <c r="K514" s="425"/>
      <c r="L514" s="425"/>
      <c r="M514" s="425"/>
      <c r="N514" s="425"/>
      <c r="Q514" s="418"/>
      <c r="R514" s="418"/>
    </row>
    <row r="515" spans="4:18" x14ac:dyDescent="0.2">
      <c r="D515" s="424"/>
      <c r="E515" s="424"/>
      <c r="F515" s="424"/>
      <c r="G515" s="424"/>
      <c r="H515" s="424"/>
      <c r="I515" s="425"/>
      <c r="J515" s="425"/>
      <c r="K515" s="425"/>
      <c r="L515" s="425"/>
      <c r="M515" s="425"/>
      <c r="N515" s="425"/>
      <c r="Q515" s="418"/>
      <c r="R515" s="418"/>
    </row>
    <row r="516" spans="4:18" x14ac:dyDescent="0.2">
      <c r="D516" s="424"/>
      <c r="E516" s="424"/>
      <c r="F516" s="424"/>
      <c r="G516" s="424"/>
      <c r="H516" s="424"/>
      <c r="I516" s="425"/>
      <c r="J516" s="425"/>
      <c r="K516" s="425"/>
      <c r="L516" s="425"/>
      <c r="M516" s="425"/>
      <c r="N516" s="425"/>
      <c r="Q516" s="418"/>
      <c r="R516" s="418"/>
    </row>
    <row r="517" spans="4:18" x14ac:dyDescent="0.2">
      <c r="D517" s="424"/>
      <c r="E517" s="424"/>
      <c r="F517" s="424"/>
      <c r="G517" s="424"/>
      <c r="H517" s="424"/>
      <c r="I517" s="425"/>
      <c r="J517" s="425"/>
      <c r="K517" s="425"/>
      <c r="L517" s="425"/>
      <c r="M517" s="425"/>
      <c r="N517" s="425"/>
      <c r="Q517" s="418"/>
      <c r="R517" s="418"/>
    </row>
    <row r="518" spans="4:18" x14ac:dyDescent="0.2">
      <c r="D518" s="424"/>
      <c r="E518" s="424"/>
      <c r="F518" s="424"/>
      <c r="G518" s="424"/>
      <c r="H518" s="424"/>
      <c r="I518" s="425"/>
      <c r="J518" s="425"/>
      <c r="K518" s="425"/>
      <c r="L518" s="425"/>
      <c r="M518" s="425"/>
      <c r="N518" s="425"/>
      <c r="Q518" s="418"/>
      <c r="R518" s="418"/>
    </row>
    <row r="519" spans="4:18" x14ac:dyDescent="0.2">
      <c r="D519" s="424"/>
      <c r="E519" s="424"/>
      <c r="F519" s="424"/>
      <c r="G519" s="424"/>
      <c r="H519" s="424"/>
      <c r="I519" s="425"/>
      <c r="J519" s="425"/>
      <c r="K519" s="425"/>
      <c r="L519" s="425"/>
      <c r="M519" s="425"/>
      <c r="N519" s="425"/>
      <c r="Q519" s="418"/>
      <c r="R519" s="418"/>
    </row>
    <row r="520" spans="4:18" x14ac:dyDescent="0.2">
      <c r="D520" s="424"/>
      <c r="E520" s="424"/>
      <c r="F520" s="424"/>
      <c r="G520" s="424"/>
      <c r="H520" s="424"/>
      <c r="I520" s="425"/>
      <c r="J520" s="425"/>
      <c r="K520" s="425"/>
      <c r="L520" s="425"/>
      <c r="M520" s="425"/>
      <c r="N520" s="425"/>
      <c r="Q520" s="418"/>
      <c r="R520" s="418"/>
    </row>
    <row r="521" spans="4:18" x14ac:dyDescent="0.2">
      <c r="D521" s="424"/>
      <c r="E521" s="424"/>
      <c r="F521" s="424"/>
      <c r="G521" s="424"/>
      <c r="H521" s="424"/>
      <c r="I521" s="425"/>
      <c r="J521" s="425"/>
      <c r="K521" s="425"/>
      <c r="L521" s="425"/>
      <c r="M521" s="425"/>
      <c r="N521" s="425"/>
      <c r="Q521" s="418"/>
      <c r="R521" s="418"/>
    </row>
    <row r="522" spans="4:18" x14ac:dyDescent="0.2">
      <c r="D522" s="424"/>
      <c r="E522" s="424"/>
      <c r="F522" s="424"/>
      <c r="G522" s="424"/>
      <c r="H522" s="424"/>
      <c r="I522" s="425"/>
      <c r="J522" s="425"/>
      <c r="K522" s="425"/>
      <c r="L522" s="425"/>
      <c r="M522" s="425"/>
      <c r="N522" s="425"/>
      <c r="Q522" s="418"/>
      <c r="R522" s="418"/>
    </row>
    <row r="523" spans="4:18" x14ac:dyDescent="0.2">
      <c r="D523" s="424"/>
      <c r="E523" s="424"/>
      <c r="F523" s="424"/>
      <c r="G523" s="424"/>
      <c r="H523" s="424"/>
      <c r="I523" s="425"/>
      <c r="J523" s="425"/>
      <c r="K523" s="425"/>
      <c r="L523" s="425"/>
      <c r="M523" s="425"/>
      <c r="N523" s="425"/>
      <c r="Q523" s="418"/>
      <c r="R523" s="418"/>
    </row>
    <row r="524" spans="4:18" x14ac:dyDescent="0.2">
      <c r="D524" s="424"/>
      <c r="E524" s="424"/>
      <c r="F524" s="424"/>
      <c r="G524" s="424"/>
      <c r="H524" s="424"/>
      <c r="I524" s="425"/>
      <c r="J524" s="425"/>
      <c r="K524" s="425"/>
      <c r="L524" s="425"/>
      <c r="M524" s="425"/>
      <c r="N524" s="425"/>
      <c r="Q524" s="418"/>
      <c r="R524" s="418"/>
    </row>
    <row r="525" spans="4:18" x14ac:dyDescent="0.2">
      <c r="D525" s="424"/>
      <c r="E525" s="424"/>
      <c r="F525" s="424"/>
      <c r="G525" s="424"/>
      <c r="H525" s="424"/>
      <c r="I525" s="425"/>
      <c r="J525" s="425"/>
      <c r="K525" s="425"/>
      <c r="L525" s="425"/>
      <c r="M525" s="425"/>
      <c r="N525" s="425"/>
      <c r="Q525" s="418"/>
      <c r="R525" s="418"/>
    </row>
    <row r="526" spans="4:18" x14ac:dyDescent="0.2">
      <c r="D526" s="424"/>
      <c r="E526" s="424"/>
      <c r="F526" s="424"/>
      <c r="G526" s="424"/>
      <c r="H526" s="424"/>
      <c r="I526" s="425"/>
      <c r="J526" s="425"/>
      <c r="K526" s="425"/>
      <c r="L526" s="425"/>
      <c r="M526" s="425"/>
      <c r="N526" s="425"/>
      <c r="Q526" s="418"/>
      <c r="R526" s="418"/>
    </row>
    <row r="527" spans="4:18" x14ac:dyDescent="0.2">
      <c r="D527" s="424"/>
      <c r="E527" s="424"/>
      <c r="F527" s="424"/>
      <c r="G527" s="424"/>
      <c r="H527" s="424"/>
      <c r="I527" s="425"/>
      <c r="J527" s="425"/>
      <c r="K527" s="425"/>
      <c r="L527" s="425"/>
      <c r="M527" s="425"/>
      <c r="N527" s="425"/>
      <c r="Q527" s="418"/>
      <c r="R527" s="418"/>
    </row>
    <row r="528" spans="4:18" x14ac:dyDescent="0.2">
      <c r="D528" s="424"/>
      <c r="E528" s="424"/>
      <c r="F528" s="424"/>
      <c r="G528" s="424"/>
      <c r="H528" s="424"/>
      <c r="I528" s="425"/>
      <c r="J528" s="425"/>
      <c r="K528" s="425"/>
      <c r="L528" s="425"/>
      <c r="M528" s="425"/>
      <c r="N528" s="425"/>
      <c r="Q528" s="418"/>
      <c r="R528" s="418"/>
    </row>
    <row r="529" spans="4:18" x14ac:dyDescent="0.2">
      <c r="D529" s="424"/>
      <c r="E529" s="424"/>
      <c r="F529" s="424"/>
      <c r="G529" s="424"/>
      <c r="H529" s="424"/>
      <c r="I529" s="425"/>
      <c r="J529" s="425"/>
      <c r="K529" s="425"/>
      <c r="L529" s="425"/>
      <c r="M529" s="425"/>
      <c r="N529" s="425"/>
      <c r="Q529" s="418"/>
      <c r="R529" s="418"/>
    </row>
    <row r="530" spans="4:18" x14ac:dyDescent="0.2">
      <c r="D530" s="424"/>
      <c r="E530" s="424"/>
      <c r="F530" s="424"/>
      <c r="G530" s="424"/>
      <c r="H530" s="424"/>
      <c r="I530" s="425"/>
      <c r="J530" s="425"/>
      <c r="K530" s="425"/>
      <c r="L530" s="425"/>
      <c r="M530" s="425"/>
      <c r="N530" s="425"/>
      <c r="Q530" s="418"/>
      <c r="R530" s="418"/>
    </row>
    <row r="531" spans="4:18" x14ac:dyDescent="0.2">
      <c r="D531" s="424"/>
      <c r="E531" s="424"/>
      <c r="F531" s="424"/>
      <c r="G531" s="424"/>
      <c r="H531" s="424"/>
      <c r="I531" s="425"/>
      <c r="J531" s="425"/>
      <c r="K531" s="425"/>
      <c r="L531" s="425"/>
      <c r="M531" s="425"/>
      <c r="N531" s="425"/>
      <c r="Q531" s="418"/>
      <c r="R531" s="418"/>
    </row>
    <row r="532" spans="4:18" x14ac:dyDescent="0.2">
      <c r="D532" s="424"/>
      <c r="E532" s="424"/>
      <c r="F532" s="424"/>
      <c r="G532" s="424"/>
      <c r="H532" s="424"/>
      <c r="I532" s="425"/>
      <c r="J532" s="425"/>
      <c r="K532" s="425"/>
      <c r="L532" s="425"/>
      <c r="M532" s="425"/>
      <c r="N532" s="425"/>
      <c r="Q532" s="418"/>
      <c r="R532" s="418"/>
    </row>
    <row r="533" spans="4:18" x14ac:dyDescent="0.2">
      <c r="D533" s="424"/>
      <c r="E533" s="424"/>
      <c r="F533" s="424"/>
      <c r="G533" s="424"/>
      <c r="H533" s="424"/>
      <c r="I533" s="425"/>
      <c r="J533" s="425"/>
      <c r="K533" s="425"/>
      <c r="L533" s="425"/>
      <c r="M533" s="425"/>
      <c r="N533" s="425"/>
      <c r="Q533" s="418"/>
      <c r="R533" s="418"/>
    </row>
    <row r="534" spans="4:18" x14ac:dyDescent="0.2">
      <c r="D534" s="424"/>
      <c r="E534" s="424"/>
      <c r="F534" s="424"/>
      <c r="G534" s="424"/>
      <c r="H534" s="424"/>
      <c r="I534" s="425"/>
      <c r="J534" s="425"/>
      <c r="K534" s="425"/>
      <c r="L534" s="425"/>
      <c r="M534" s="425"/>
      <c r="N534" s="425"/>
      <c r="Q534" s="418"/>
      <c r="R534" s="418"/>
    </row>
    <row r="535" spans="4:18" x14ac:dyDescent="0.2">
      <c r="D535" s="424"/>
      <c r="E535" s="424"/>
      <c r="F535" s="424"/>
      <c r="G535" s="424"/>
      <c r="H535" s="424"/>
      <c r="I535" s="425"/>
      <c r="J535" s="425"/>
      <c r="K535" s="425"/>
      <c r="L535" s="425"/>
      <c r="M535" s="425"/>
      <c r="N535" s="425"/>
      <c r="Q535" s="418"/>
      <c r="R535" s="418"/>
    </row>
    <row r="536" spans="4:18" x14ac:dyDescent="0.2">
      <c r="D536" s="424"/>
      <c r="E536" s="424"/>
      <c r="F536" s="424"/>
      <c r="G536" s="424"/>
      <c r="H536" s="424"/>
      <c r="I536" s="425"/>
      <c r="J536" s="425"/>
      <c r="K536" s="425"/>
      <c r="L536" s="425"/>
      <c r="M536" s="425"/>
      <c r="N536" s="425"/>
      <c r="Q536" s="418"/>
      <c r="R536" s="418"/>
    </row>
    <row r="537" spans="4:18" x14ac:dyDescent="0.2">
      <c r="D537" s="424"/>
      <c r="E537" s="424"/>
      <c r="F537" s="424"/>
      <c r="G537" s="424"/>
      <c r="H537" s="424"/>
      <c r="I537" s="425"/>
      <c r="J537" s="425"/>
      <c r="K537" s="425"/>
      <c r="L537" s="425"/>
      <c r="M537" s="425"/>
      <c r="N537" s="425"/>
      <c r="Q537" s="418"/>
      <c r="R537" s="418"/>
    </row>
    <row r="538" spans="4:18" x14ac:dyDescent="0.2">
      <c r="D538" s="424"/>
      <c r="E538" s="424"/>
      <c r="F538" s="424"/>
      <c r="G538" s="424"/>
      <c r="H538" s="424"/>
      <c r="I538" s="425"/>
      <c r="J538" s="425"/>
      <c r="K538" s="425"/>
      <c r="L538" s="425"/>
      <c r="M538" s="425"/>
      <c r="N538" s="425"/>
      <c r="Q538" s="418"/>
      <c r="R538" s="418"/>
    </row>
    <row r="539" spans="4:18" x14ac:dyDescent="0.2">
      <c r="D539" s="424"/>
      <c r="E539" s="424"/>
      <c r="F539" s="424"/>
      <c r="G539" s="424"/>
      <c r="H539" s="424"/>
      <c r="I539" s="425"/>
      <c r="J539" s="425"/>
      <c r="K539" s="425"/>
      <c r="L539" s="425"/>
      <c r="M539" s="425"/>
      <c r="N539" s="425"/>
      <c r="Q539" s="418"/>
      <c r="R539" s="418"/>
    </row>
    <row r="540" spans="4:18" x14ac:dyDescent="0.2">
      <c r="D540" s="424"/>
      <c r="E540" s="424"/>
      <c r="F540" s="424"/>
      <c r="G540" s="424"/>
      <c r="H540" s="424"/>
      <c r="I540" s="425"/>
      <c r="J540" s="425"/>
      <c r="K540" s="425"/>
      <c r="L540" s="425"/>
      <c r="M540" s="425"/>
      <c r="N540" s="425"/>
      <c r="Q540" s="418"/>
      <c r="R540" s="418"/>
    </row>
    <row r="541" spans="4:18" x14ac:dyDescent="0.2">
      <c r="D541" s="424"/>
      <c r="E541" s="424"/>
      <c r="F541" s="424"/>
      <c r="G541" s="424"/>
      <c r="H541" s="424"/>
      <c r="I541" s="425"/>
      <c r="J541" s="425"/>
      <c r="K541" s="425"/>
      <c r="L541" s="425"/>
      <c r="M541" s="425"/>
      <c r="N541" s="425"/>
      <c r="Q541" s="418"/>
      <c r="R541" s="418"/>
    </row>
    <row r="542" spans="4:18" x14ac:dyDescent="0.2">
      <c r="D542" s="424"/>
      <c r="E542" s="424"/>
      <c r="F542" s="424"/>
      <c r="G542" s="424"/>
      <c r="H542" s="424"/>
      <c r="I542" s="425"/>
      <c r="J542" s="425"/>
      <c r="K542" s="425"/>
      <c r="L542" s="425"/>
      <c r="M542" s="425"/>
      <c r="N542" s="425"/>
      <c r="Q542" s="418"/>
      <c r="R542" s="418"/>
    </row>
    <row r="543" spans="4:18" x14ac:dyDescent="0.2">
      <c r="D543" s="424"/>
      <c r="E543" s="424"/>
      <c r="F543" s="424"/>
      <c r="G543" s="424"/>
      <c r="H543" s="424"/>
      <c r="I543" s="425"/>
      <c r="J543" s="425"/>
      <c r="K543" s="425"/>
      <c r="L543" s="425"/>
      <c r="M543" s="425"/>
      <c r="N543" s="425"/>
      <c r="Q543" s="418"/>
      <c r="R543" s="418"/>
    </row>
    <row r="544" spans="4:18" x14ac:dyDescent="0.2">
      <c r="D544" s="424"/>
      <c r="E544" s="424"/>
      <c r="F544" s="424"/>
      <c r="G544" s="424"/>
      <c r="H544" s="424"/>
      <c r="I544" s="425"/>
      <c r="J544" s="425"/>
      <c r="K544" s="425"/>
      <c r="L544" s="425"/>
      <c r="M544" s="425"/>
      <c r="N544" s="425"/>
      <c r="Q544" s="418"/>
      <c r="R544" s="418"/>
    </row>
    <row r="545" spans="4:18" x14ac:dyDescent="0.2">
      <c r="D545" s="424"/>
      <c r="E545" s="424"/>
      <c r="F545" s="424"/>
      <c r="G545" s="424"/>
      <c r="H545" s="424"/>
      <c r="I545" s="425"/>
      <c r="J545" s="425"/>
      <c r="K545" s="425"/>
      <c r="L545" s="425"/>
      <c r="M545" s="425"/>
      <c r="N545" s="425"/>
      <c r="Q545" s="418"/>
      <c r="R545" s="418"/>
    </row>
    <row r="546" spans="4:18" x14ac:dyDescent="0.2">
      <c r="D546" s="424"/>
      <c r="E546" s="424"/>
      <c r="F546" s="424"/>
      <c r="G546" s="424"/>
      <c r="H546" s="424"/>
      <c r="I546" s="425"/>
      <c r="J546" s="425"/>
      <c r="K546" s="425"/>
      <c r="L546" s="425"/>
      <c r="M546" s="425"/>
      <c r="N546" s="425"/>
      <c r="Q546" s="418"/>
      <c r="R546" s="418"/>
    </row>
    <row r="547" spans="4:18" x14ac:dyDescent="0.2">
      <c r="D547" s="424"/>
      <c r="E547" s="424"/>
      <c r="F547" s="424"/>
      <c r="G547" s="424"/>
      <c r="H547" s="424"/>
      <c r="I547" s="425"/>
      <c r="J547" s="425"/>
      <c r="K547" s="425"/>
      <c r="L547" s="425"/>
      <c r="M547" s="425"/>
      <c r="N547" s="425"/>
      <c r="Q547" s="418"/>
      <c r="R547" s="418"/>
    </row>
    <row r="548" spans="4:18" x14ac:dyDescent="0.2">
      <c r="D548" s="424"/>
      <c r="E548" s="424"/>
      <c r="F548" s="424"/>
      <c r="G548" s="424"/>
      <c r="H548" s="424"/>
      <c r="I548" s="425"/>
      <c r="J548" s="425"/>
      <c r="K548" s="425"/>
      <c r="L548" s="425"/>
      <c r="M548" s="425"/>
      <c r="N548" s="425"/>
      <c r="Q548" s="418"/>
      <c r="R548" s="418"/>
    </row>
    <row r="549" spans="4:18" x14ac:dyDescent="0.2">
      <c r="D549" s="424"/>
      <c r="E549" s="424"/>
      <c r="F549" s="424"/>
      <c r="G549" s="424"/>
      <c r="H549" s="424"/>
      <c r="I549" s="425"/>
      <c r="J549" s="425"/>
      <c r="K549" s="425"/>
      <c r="L549" s="425"/>
      <c r="M549" s="425"/>
      <c r="N549" s="425"/>
      <c r="Q549" s="418"/>
      <c r="R549" s="418"/>
    </row>
    <row r="550" spans="4:18" x14ac:dyDescent="0.2">
      <c r="D550" s="424"/>
      <c r="E550" s="424"/>
      <c r="F550" s="424"/>
      <c r="G550" s="424"/>
      <c r="H550" s="424"/>
      <c r="I550" s="425"/>
      <c r="J550" s="425"/>
      <c r="K550" s="425"/>
      <c r="L550" s="425"/>
      <c r="M550" s="425"/>
      <c r="N550" s="425"/>
      <c r="Q550" s="418"/>
      <c r="R550" s="418"/>
    </row>
    <row r="551" spans="4:18" x14ac:dyDescent="0.2">
      <c r="D551" s="424"/>
      <c r="E551" s="424"/>
      <c r="F551" s="424"/>
      <c r="G551" s="424"/>
      <c r="H551" s="424"/>
      <c r="I551" s="425"/>
      <c r="J551" s="425"/>
      <c r="K551" s="425"/>
      <c r="L551" s="425"/>
      <c r="M551" s="425"/>
      <c r="N551" s="425"/>
      <c r="Q551" s="418"/>
      <c r="R551" s="418"/>
    </row>
    <row r="552" spans="4:18" x14ac:dyDescent="0.2">
      <c r="D552" s="424"/>
      <c r="E552" s="424"/>
      <c r="F552" s="424"/>
      <c r="G552" s="424"/>
      <c r="H552" s="424"/>
      <c r="I552" s="425"/>
      <c r="J552" s="425"/>
      <c r="K552" s="425"/>
      <c r="L552" s="425"/>
      <c r="M552" s="425"/>
      <c r="N552" s="425"/>
      <c r="Q552" s="418"/>
      <c r="R552" s="418"/>
    </row>
    <row r="553" spans="4:18" x14ac:dyDescent="0.2">
      <c r="D553" s="424"/>
      <c r="E553" s="424"/>
      <c r="F553" s="424"/>
      <c r="G553" s="424"/>
      <c r="H553" s="424"/>
      <c r="I553" s="425"/>
      <c r="J553" s="425"/>
      <c r="K553" s="425"/>
      <c r="L553" s="425"/>
      <c r="M553" s="425"/>
      <c r="N553" s="425"/>
      <c r="Q553" s="418"/>
      <c r="R553" s="418"/>
    </row>
    <row r="554" spans="4:18" x14ac:dyDescent="0.2">
      <c r="D554" s="424"/>
      <c r="E554" s="424"/>
      <c r="F554" s="424"/>
      <c r="G554" s="424"/>
      <c r="H554" s="424"/>
      <c r="I554" s="425"/>
      <c r="J554" s="425"/>
      <c r="K554" s="425"/>
      <c r="L554" s="425"/>
      <c r="M554" s="425"/>
      <c r="N554" s="425"/>
      <c r="Q554" s="418"/>
      <c r="R554" s="418"/>
    </row>
    <row r="555" spans="4:18" x14ac:dyDescent="0.2">
      <c r="D555" s="424"/>
      <c r="E555" s="424"/>
      <c r="F555" s="424"/>
      <c r="G555" s="424"/>
      <c r="H555" s="424"/>
      <c r="I555" s="425"/>
      <c r="J555" s="425"/>
      <c r="K555" s="425"/>
      <c r="L555" s="425"/>
      <c r="M555" s="425"/>
      <c r="N555" s="425"/>
      <c r="Q555" s="418"/>
      <c r="R555" s="418"/>
    </row>
    <row r="556" spans="4:18" x14ac:dyDescent="0.2">
      <c r="D556" s="424"/>
      <c r="E556" s="424"/>
      <c r="F556" s="424"/>
      <c r="G556" s="424"/>
      <c r="H556" s="424"/>
      <c r="I556" s="425"/>
      <c r="J556" s="425"/>
      <c r="K556" s="425"/>
      <c r="L556" s="425"/>
      <c r="M556" s="425"/>
      <c r="N556" s="425"/>
      <c r="Q556" s="418"/>
      <c r="R556" s="418"/>
    </row>
    <row r="557" spans="4:18" x14ac:dyDescent="0.2">
      <c r="D557" s="424"/>
      <c r="E557" s="424"/>
      <c r="F557" s="424"/>
      <c r="G557" s="424"/>
      <c r="H557" s="424"/>
      <c r="I557" s="425"/>
      <c r="J557" s="425"/>
      <c r="K557" s="425"/>
      <c r="L557" s="425"/>
      <c r="M557" s="425"/>
      <c r="N557" s="425"/>
      <c r="Q557" s="418"/>
      <c r="R557" s="418"/>
    </row>
    <row r="558" spans="4:18" x14ac:dyDescent="0.2">
      <c r="D558" s="424"/>
      <c r="E558" s="424"/>
      <c r="F558" s="424"/>
      <c r="G558" s="424"/>
      <c r="H558" s="424"/>
      <c r="I558" s="425"/>
      <c r="J558" s="425"/>
      <c r="K558" s="425"/>
      <c r="L558" s="425"/>
      <c r="M558" s="425"/>
      <c r="N558" s="425"/>
      <c r="Q558" s="418"/>
      <c r="R558" s="418"/>
    </row>
    <row r="559" spans="4:18" x14ac:dyDescent="0.2">
      <c r="D559" s="424"/>
      <c r="E559" s="424"/>
      <c r="F559" s="424"/>
      <c r="G559" s="424"/>
      <c r="H559" s="424"/>
      <c r="I559" s="425"/>
      <c r="J559" s="425"/>
      <c r="K559" s="425"/>
      <c r="L559" s="425"/>
      <c r="M559" s="425"/>
      <c r="N559" s="425"/>
      <c r="Q559" s="418"/>
      <c r="R559" s="418"/>
    </row>
    <row r="560" spans="4:18" x14ac:dyDescent="0.2">
      <c r="D560" s="424"/>
      <c r="E560" s="424"/>
      <c r="F560" s="424"/>
      <c r="G560" s="424"/>
      <c r="H560" s="424"/>
      <c r="I560" s="425"/>
      <c r="J560" s="425"/>
      <c r="K560" s="425"/>
      <c r="L560" s="425"/>
      <c r="M560" s="425"/>
      <c r="N560" s="425"/>
      <c r="Q560" s="418"/>
      <c r="R560" s="418"/>
    </row>
    <row r="561" spans="4:18" x14ac:dyDescent="0.2">
      <c r="D561" s="424"/>
      <c r="E561" s="424"/>
      <c r="F561" s="424"/>
      <c r="G561" s="424"/>
      <c r="H561" s="424"/>
      <c r="I561" s="425"/>
      <c r="J561" s="425"/>
      <c r="K561" s="425"/>
      <c r="L561" s="425"/>
      <c r="M561" s="425"/>
      <c r="N561" s="425"/>
      <c r="Q561" s="418"/>
      <c r="R561" s="418"/>
    </row>
    <row r="562" spans="4:18" x14ac:dyDescent="0.2">
      <c r="D562" s="424"/>
      <c r="E562" s="424"/>
      <c r="F562" s="424"/>
      <c r="G562" s="424"/>
      <c r="H562" s="424"/>
      <c r="I562" s="425"/>
      <c r="J562" s="425"/>
      <c r="K562" s="425"/>
      <c r="L562" s="425"/>
      <c r="M562" s="425"/>
      <c r="N562" s="425"/>
      <c r="Q562" s="418"/>
      <c r="R562" s="418"/>
    </row>
    <row r="563" spans="4:18" x14ac:dyDescent="0.2">
      <c r="D563" s="424"/>
      <c r="E563" s="424"/>
      <c r="F563" s="424"/>
      <c r="G563" s="424"/>
      <c r="H563" s="424"/>
      <c r="I563" s="425"/>
      <c r="J563" s="425"/>
      <c r="K563" s="425"/>
      <c r="L563" s="425"/>
      <c r="M563" s="425"/>
      <c r="N563" s="425"/>
      <c r="Q563" s="418"/>
      <c r="R563" s="418"/>
    </row>
    <row r="564" spans="4:18" x14ac:dyDescent="0.2">
      <c r="D564" s="424"/>
      <c r="E564" s="424"/>
      <c r="F564" s="424"/>
      <c r="G564" s="424"/>
      <c r="H564" s="424"/>
      <c r="I564" s="425"/>
      <c r="J564" s="425"/>
      <c r="K564" s="425"/>
      <c r="L564" s="425"/>
      <c r="M564" s="425"/>
      <c r="N564" s="425"/>
      <c r="Q564" s="418"/>
      <c r="R564" s="418"/>
    </row>
    <row r="565" spans="4:18" x14ac:dyDescent="0.2">
      <c r="D565" s="424"/>
      <c r="E565" s="424"/>
      <c r="F565" s="424"/>
      <c r="G565" s="424"/>
      <c r="H565" s="424"/>
      <c r="I565" s="425"/>
      <c r="J565" s="425"/>
      <c r="K565" s="425"/>
      <c r="L565" s="425"/>
      <c r="M565" s="425"/>
      <c r="N565" s="425"/>
      <c r="Q565" s="418"/>
      <c r="R565" s="418"/>
    </row>
    <row r="566" spans="4:18" x14ac:dyDescent="0.2">
      <c r="D566" s="424"/>
      <c r="E566" s="424"/>
      <c r="F566" s="424"/>
      <c r="G566" s="424"/>
      <c r="H566" s="424"/>
      <c r="I566" s="425"/>
      <c r="J566" s="425"/>
      <c r="K566" s="425"/>
      <c r="L566" s="425"/>
      <c r="M566" s="425"/>
      <c r="N566" s="425"/>
      <c r="Q566" s="418"/>
      <c r="R566" s="418"/>
    </row>
    <row r="567" spans="4:18" x14ac:dyDescent="0.2">
      <c r="D567" s="424"/>
      <c r="E567" s="424"/>
      <c r="F567" s="424"/>
      <c r="G567" s="424"/>
      <c r="H567" s="424"/>
      <c r="I567" s="425"/>
      <c r="J567" s="425"/>
      <c r="K567" s="425"/>
      <c r="L567" s="425"/>
      <c r="M567" s="425"/>
      <c r="N567" s="425"/>
      <c r="Q567" s="418"/>
      <c r="R567" s="418"/>
    </row>
    <row r="568" spans="4:18" x14ac:dyDescent="0.2">
      <c r="D568" s="424"/>
      <c r="E568" s="424"/>
      <c r="F568" s="424"/>
      <c r="G568" s="424"/>
      <c r="H568" s="424"/>
      <c r="I568" s="425"/>
      <c r="J568" s="425"/>
      <c r="K568" s="425"/>
      <c r="L568" s="425"/>
      <c r="M568" s="425"/>
      <c r="N568" s="425"/>
      <c r="Q568" s="418"/>
      <c r="R568" s="418"/>
    </row>
    <row r="569" spans="4:18" x14ac:dyDescent="0.2">
      <c r="D569" s="424"/>
      <c r="E569" s="424"/>
      <c r="F569" s="424"/>
      <c r="G569" s="424"/>
      <c r="H569" s="424"/>
      <c r="I569" s="425"/>
      <c r="J569" s="425"/>
      <c r="K569" s="425"/>
      <c r="L569" s="425"/>
      <c r="M569" s="425"/>
      <c r="N569" s="425"/>
      <c r="Q569" s="418"/>
      <c r="R569" s="418"/>
    </row>
    <row r="570" spans="4:18" x14ac:dyDescent="0.2">
      <c r="D570" s="424"/>
      <c r="E570" s="424"/>
      <c r="F570" s="424"/>
      <c r="G570" s="424"/>
      <c r="H570" s="424"/>
      <c r="I570" s="425"/>
      <c r="J570" s="425"/>
      <c r="K570" s="425"/>
      <c r="L570" s="425"/>
      <c r="M570" s="425"/>
      <c r="N570" s="425"/>
      <c r="Q570" s="418"/>
      <c r="R570" s="418"/>
    </row>
    <row r="571" spans="4:18" x14ac:dyDescent="0.2">
      <c r="D571" s="424"/>
      <c r="E571" s="424"/>
      <c r="F571" s="424"/>
      <c r="G571" s="424"/>
      <c r="H571" s="424"/>
      <c r="I571" s="425"/>
      <c r="J571" s="425"/>
      <c r="K571" s="425"/>
      <c r="L571" s="425"/>
      <c r="M571" s="425"/>
      <c r="N571" s="425"/>
      <c r="Q571" s="418"/>
      <c r="R571" s="418"/>
    </row>
    <row r="572" spans="4:18" x14ac:dyDescent="0.2">
      <c r="D572" s="424"/>
      <c r="E572" s="424"/>
      <c r="F572" s="424"/>
      <c r="G572" s="424"/>
      <c r="H572" s="424"/>
      <c r="I572" s="425"/>
      <c r="J572" s="425"/>
      <c r="K572" s="425"/>
      <c r="L572" s="425"/>
      <c r="M572" s="425"/>
      <c r="N572" s="425"/>
      <c r="Q572" s="418"/>
      <c r="R572" s="418"/>
    </row>
    <row r="573" spans="4:18" x14ac:dyDescent="0.2">
      <c r="D573" s="424"/>
      <c r="E573" s="424"/>
      <c r="F573" s="424"/>
      <c r="G573" s="424"/>
      <c r="H573" s="424"/>
      <c r="I573" s="425"/>
      <c r="J573" s="425"/>
      <c r="K573" s="425"/>
      <c r="L573" s="425"/>
      <c r="M573" s="425"/>
      <c r="N573" s="425"/>
      <c r="Q573" s="418"/>
      <c r="R573" s="418"/>
    </row>
    <row r="574" spans="4:18" x14ac:dyDescent="0.2">
      <c r="D574" s="424"/>
      <c r="E574" s="424"/>
      <c r="F574" s="424"/>
      <c r="G574" s="424"/>
      <c r="H574" s="424"/>
      <c r="I574" s="425"/>
      <c r="J574" s="425"/>
      <c r="K574" s="425"/>
      <c r="L574" s="425"/>
      <c r="M574" s="425"/>
      <c r="N574" s="425"/>
      <c r="Q574" s="418"/>
      <c r="R574" s="418"/>
    </row>
    <row r="575" spans="4:18" x14ac:dyDescent="0.2">
      <c r="D575" s="424"/>
      <c r="E575" s="424"/>
      <c r="F575" s="424"/>
      <c r="G575" s="424"/>
      <c r="H575" s="424"/>
      <c r="I575" s="425"/>
      <c r="J575" s="425"/>
      <c r="K575" s="425"/>
      <c r="L575" s="425"/>
      <c r="M575" s="425"/>
      <c r="N575" s="425"/>
      <c r="Q575" s="418"/>
      <c r="R575" s="418"/>
    </row>
    <row r="576" spans="4:18" x14ac:dyDescent="0.2">
      <c r="D576" s="424"/>
      <c r="E576" s="424"/>
      <c r="F576" s="424"/>
      <c r="G576" s="424"/>
      <c r="H576" s="424"/>
      <c r="I576" s="425"/>
      <c r="J576" s="425"/>
      <c r="K576" s="425"/>
      <c r="L576" s="425"/>
      <c r="M576" s="425"/>
      <c r="N576" s="425"/>
      <c r="Q576" s="418"/>
      <c r="R576" s="418"/>
    </row>
    <row r="577" spans="4:18" x14ac:dyDescent="0.2">
      <c r="D577" s="424"/>
      <c r="E577" s="424"/>
      <c r="F577" s="424"/>
      <c r="G577" s="424"/>
      <c r="H577" s="424"/>
      <c r="I577" s="425"/>
      <c r="J577" s="425"/>
      <c r="K577" s="425"/>
      <c r="L577" s="425"/>
      <c r="M577" s="425"/>
      <c r="N577" s="425"/>
      <c r="Q577" s="418"/>
      <c r="R577" s="418"/>
    </row>
    <row r="578" spans="4:18" x14ac:dyDescent="0.2">
      <c r="D578" s="424"/>
      <c r="E578" s="424"/>
      <c r="F578" s="424"/>
      <c r="G578" s="424"/>
      <c r="H578" s="424"/>
      <c r="I578" s="425"/>
      <c r="J578" s="425"/>
      <c r="K578" s="425"/>
      <c r="L578" s="425"/>
      <c r="M578" s="425"/>
      <c r="N578" s="425"/>
      <c r="Q578" s="418"/>
      <c r="R578" s="418"/>
    </row>
    <row r="579" spans="4:18" x14ac:dyDescent="0.2">
      <c r="D579" s="424"/>
      <c r="E579" s="424"/>
      <c r="F579" s="424"/>
      <c r="G579" s="424"/>
      <c r="H579" s="424"/>
      <c r="I579" s="425"/>
      <c r="J579" s="425"/>
      <c r="K579" s="425"/>
      <c r="L579" s="425"/>
      <c r="M579" s="425"/>
      <c r="N579" s="425"/>
      <c r="Q579" s="418"/>
      <c r="R579" s="418"/>
    </row>
    <row r="580" spans="4:18" x14ac:dyDescent="0.2">
      <c r="D580" s="424"/>
      <c r="E580" s="424"/>
      <c r="F580" s="424"/>
      <c r="G580" s="424"/>
      <c r="H580" s="424"/>
      <c r="I580" s="425"/>
      <c r="J580" s="425"/>
      <c r="K580" s="425"/>
      <c r="L580" s="425"/>
      <c r="M580" s="425"/>
      <c r="N580" s="425"/>
      <c r="Q580" s="418"/>
      <c r="R580" s="418"/>
    </row>
    <row r="581" spans="4:18" x14ac:dyDescent="0.2">
      <c r="D581" s="424"/>
      <c r="E581" s="424"/>
      <c r="F581" s="424"/>
      <c r="G581" s="424"/>
      <c r="H581" s="424"/>
      <c r="I581" s="425"/>
      <c r="J581" s="425"/>
      <c r="K581" s="425"/>
      <c r="L581" s="425"/>
      <c r="M581" s="425"/>
      <c r="N581" s="425"/>
      <c r="Q581" s="418"/>
      <c r="R581" s="418"/>
    </row>
    <row r="582" spans="4:18" x14ac:dyDescent="0.2">
      <c r="D582" s="424"/>
      <c r="E582" s="424"/>
      <c r="F582" s="424"/>
      <c r="G582" s="424"/>
      <c r="H582" s="424"/>
      <c r="I582" s="425"/>
      <c r="J582" s="425"/>
      <c r="K582" s="425"/>
      <c r="L582" s="425"/>
      <c r="M582" s="425"/>
      <c r="N582" s="425"/>
      <c r="Q582" s="418"/>
      <c r="R582" s="418"/>
    </row>
    <row r="583" spans="4:18" x14ac:dyDescent="0.2">
      <c r="D583" s="424"/>
      <c r="E583" s="424"/>
      <c r="F583" s="424"/>
      <c r="G583" s="424"/>
      <c r="H583" s="424"/>
      <c r="I583" s="425"/>
      <c r="J583" s="425"/>
      <c r="K583" s="425"/>
      <c r="L583" s="425"/>
      <c r="M583" s="425"/>
      <c r="N583" s="425"/>
      <c r="Q583" s="418"/>
      <c r="R583" s="418"/>
    </row>
    <row r="584" spans="4:18" x14ac:dyDescent="0.2">
      <c r="D584" s="424"/>
      <c r="E584" s="424"/>
      <c r="F584" s="424"/>
      <c r="G584" s="424"/>
      <c r="H584" s="424"/>
      <c r="I584" s="425"/>
      <c r="J584" s="425"/>
      <c r="K584" s="425"/>
      <c r="L584" s="425"/>
      <c r="M584" s="425"/>
      <c r="N584" s="425"/>
      <c r="Q584" s="418"/>
      <c r="R584" s="418"/>
    </row>
    <row r="585" spans="4:18" x14ac:dyDescent="0.2">
      <c r="D585" s="424"/>
      <c r="E585" s="424"/>
      <c r="F585" s="424"/>
      <c r="G585" s="424"/>
      <c r="H585" s="424"/>
      <c r="I585" s="425"/>
      <c r="J585" s="425"/>
      <c r="K585" s="425"/>
      <c r="L585" s="425"/>
      <c r="M585" s="425"/>
      <c r="N585" s="425"/>
      <c r="Q585" s="418"/>
      <c r="R585" s="418"/>
    </row>
    <row r="586" spans="4:18" x14ac:dyDescent="0.2">
      <c r="D586" s="424"/>
      <c r="E586" s="424"/>
      <c r="F586" s="424"/>
      <c r="G586" s="424"/>
      <c r="H586" s="424"/>
      <c r="I586" s="425"/>
      <c r="J586" s="425"/>
      <c r="K586" s="425"/>
      <c r="L586" s="425"/>
      <c r="M586" s="425"/>
      <c r="N586" s="425"/>
      <c r="Q586" s="418"/>
      <c r="R586" s="418"/>
    </row>
    <row r="587" spans="4:18" x14ac:dyDescent="0.2">
      <c r="D587" s="424"/>
      <c r="E587" s="424"/>
      <c r="F587" s="424"/>
      <c r="G587" s="424"/>
      <c r="H587" s="424"/>
      <c r="I587" s="425"/>
      <c r="J587" s="425"/>
      <c r="K587" s="425"/>
      <c r="L587" s="425"/>
      <c r="M587" s="425"/>
      <c r="N587" s="425"/>
      <c r="Q587" s="418"/>
      <c r="R587" s="418"/>
    </row>
    <row r="588" spans="4:18" x14ac:dyDescent="0.2">
      <c r="D588" s="424"/>
      <c r="E588" s="424"/>
      <c r="F588" s="424"/>
      <c r="G588" s="424"/>
      <c r="H588" s="424"/>
      <c r="I588" s="425"/>
      <c r="J588" s="425"/>
      <c r="K588" s="425"/>
      <c r="L588" s="425"/>
      <c r="M588" s="425"/>
      <c r="N588" s="425"/>
      <c r="Q588" s="418"/>
      <c r="R588" s="418"/>
    </row>
    <row r="589" spans="4:18" x14ac:dyDescent="0.2">
      <c r="D589" s="424"/>
      <c r="E589" s="424"/>
      <c r="F589" s="424"/>
      <c r="G589" s="424"/>
      <c r="H589" s="424"/>
      <c r="I589" s="425"/>
      <c r="J589" s="425"/>
      <c r="K589" s="425"/>
      <c r="L589" s="425"/>
      <c r="M589" s="425"/>
      <c r="N589" s="425"/>
      <c r="Q589" s="418"/>
      <c r="R589" s="418"/>
    </row>
    <row r="590" spans="4:18" x14ac:dyDescent="0.2">
      <c r="D590" s="424"/>
      <c r="E590" s="424"/>
      <c r="F590" s="424"/>
      <c r="G590" s="424"/>
      <c r="H590" s="424"/>
      <c r="I590" s="425"/>
      <c r="J590" s="425"/>
      <c r="K590" s="425"/>
      <c r="L590" s="425"/>
      <c r="M590" s="425"/>
      <c r="N590" s="425"/>
      <c r="Q590" s="418"/>
      <c r="R590" s="418"/>
    </row>
    <row r="591" spans="4:18" x14ac:dyDescent="0.2">
      <c r="D591" s="424"/>
      <c r="E591" s="424"/>
      <c r="F591" s="424"/>
      <c r="G591" s="424"/>
      <c r="H591" s="424"/>
      <c r="I591" s="425"/>
      <c r="J591" s="425"/>
      <c r="K591" s="425"/>
      <c r="L591" s="425"/>
      <c r="M591" s="425"/>
      <c r="N591" s="425"/>
      <c r="Q591" s="418"/>
      <c r="R591" s="418"/>
    </row>
    <row r="592" spans="4:18" x14ac:dyDescent="0.2">
      <c r="D592" s="424"/>
      <c r="E592" s="424"/>
      <c r="F592" s="424"/>
      <c r="G592" s="424"/>
      <c r="H592" s="424"/>
      <c r="I592" s="425"/>
      <c r="J592" s="425"/>
      <c r="K592" s="425"/>
      <c r="L592" s="425"/>
      <c r="M592" s="425"/>
      <c r="N592" s="425"/>
      <c r="Q592" s="418"/>
      <c r="R592" s="418"/>
    </row>
    <row r="593" spans="4:18" x14ac:dyDescent="0.2">
      <c r="D593" s="424"/>
      <c r="E593" s="424"/>
      <c r="F593" s="424"/>
      <c r="G593" s="424"/>
      <c r="H593" s="424"/>
      <c r="I593" s="425"/>
      <c r="J593" s="425"/>
      <c r="K593" s="425"/>
      <c r="L593" s="425"/>
      <c r="M593" s="425"/>
      <c r="N593" s="425"/>
      <c r="Q593" s="418"/>
      <c r="R593" s="418"/>
    </row>
    <row r="594" spans="4:18" x14ac:dyDescent="0.2">
      <c r="D594" s="424"/>
      <c r="E594" s="424"/>
      <c r="F594" s="424"/>
      <c r="G594" s="424"/>
      <c r="H594" s="424"/>
      <c r="I594" s="425"/>
      <c r="J594" s="425"/>
      <c r="K594" s="425"/>
      <c r="L594" s="425"/>
      <c r="M594" s="425"/>
      <c r="N594" s="425"/>
      <c r="Q594" s="418"/>
      <c r="R594" s="418"/>
    </row>
    <row r="595" spans="4:18" x14ac:dyDescent="0.2">
      <c r="D595" s="424"/>
      <c r="E595" s="424"/>
      <c r="F595" s="424"/>
      <c r="G595" s="424"/>
      <c r="H595" s="424"/>
      <c r="I595" s="425"/>
      <c r="J595" s="425"/>
      <c r="K595" s="425"/>
      <c r="L595" s="425"/>
      <c r="M595" s="425"/>
      <c r="N595" s="425"/>
      <c r="Q595" s="418"/>
      <c r="R595" s="418"/>
    </row>
    <row r="596" spans="4:18" x14ac:dyDescent="0.2">
      <c r="D596" s="424"/>
      <c r="E596" s="424"/>
      <c r="F596" s="424"/>
      <c r="G596" s="424"/>
      <c r="H596" s="424"/>
      <c r="I596" s="425"/>
      <c r="J596" s="425"/>
      <c r="K596" s="425"/>
      <c r="L596" s="425"/>
      <c r="M596" s="425"/>
      <c r="N596" s="425"/>
      <c r="Q596" s="418"/>
      <c r="R596" s="418"/>
    </row>
    <row r="597" spans="4:18" x14ac:dyDescent="0.2">
      <c r="D597" s="424"/>
      <c r="E597" s="424"/>
      <c r="F597" s="424"/>
      <c r="G597" s="424"/>
      <c r="H597" s="424"/>
      <c r="I597" s="425"/>
      <c r="J597" s="425"/>
      <c r="K597" s="425"/>
      <c r="L597" s="425"/>
      <c r="M597" s="425"/>
      <c r="N597" s="425"/>
      <c r="Q597" s="418"/>
      <c r="R597" s="418"/>
    </row>
    <row r="598" spans="4:18" x14ac:dyDescent="0.2">
      <c r="D598" s="424"/>
      <c r="E598" s="424"/>
      <c r="F598" s="424"/>
      <c r="G598" s="424"/>
      <c r="H598" s="424"/>
      <c r="I598" s="425"/>
      <c r="J598" s="425"/>
      <c r="K598" s="425"/>
      <c r="L598" s="425"/>
      <c r="M598" s="425"/>
      <c r="N598" s="425"/>
      <c r="Q598" s="418"/>
      <c r="R598" s="418"/>
    </row>
    <row r="599" spans="4:18" x14ac:dyDescent="0.2">
      <c r="D599" s="424"/>
      <c r="E599" s="424"/>
      <c r="F599" s="424"/>
      <c r="G599" s="424"/>
      <c r="H599" s="424"/>
      <c r="I599" s="425"/>
      <c r="J599" s="425"/>
      <c r="K599" s="425"/>
      <c r="L599" s="425"/>
      <c r="M599" s="425"/>
      <c r="N599" s="425"/>
      <c r="Q599" s="418"/>
      <c r="R599" s="418"/>
    </row>
    <row r="600" spans="4:18" x14ac:dyDescent="0.2">
      <c r="D600" s="424"/>
      <c r="E600" s="424"/>
      <c r="F600" s="424"/>
      <c r="G600" s="424"/>
      <c r="H600" s="424"/>
      <c r="I600" s="425"/>
      <c r="J600" s="425"/>
      <c r="K600" s="425"/>
      <c r="L600" s="425"/>
      <c r="M600" s="425"/>
      <c r="N600" s="425"/>
      <c r="Q600" s="418"/>
      <c r="R600" s="418"/>
    </row>
    <row r="601" spans="4:18" x14ac:dyDescent="0.2">
      <c r="D601" s="424"/>
      <c r="E601" s="424"/>
      <c r="F601" s="424"/>
      <c r="G601" s="424"/>
      <c r="H601" s="424"/>
      <c r="I601" s="425"/>
      <c r="J601" s="425"/>
      <c r="K601" s="425"/>
      <c r="L601" s="425"/>
      <c r="M601" s="425"/>
      <c r="N601" s="425"/>
      <c r="Q601" s="418"/>
      <c r="R601" s="418"/>
    </row>
    <row r="602" spans="4:18" x14ac:dyDescent="0.2">
      <c r="D602" s="424"/>
      <c r="E602" s="424"/>
      <c r="F602" s="424"/>
      <c r="G602" s="424"/>
      <c r="H602" s="424"/>
      <c r="I602" s="425"/>
      <c r="J602" s="425"/>
      <c r="K602" s="425"/>
      <c r="L602" s="425"/>
      <c r="M602" s="425"/>
      <c r="N602" s="425"/>
      <c r="Q602" s="418"/>
      <c r="R602" s="418"/>
    </row>
    <row r="603" spans="4:18" x14ac:dyDescent="0.2">
      <c r="D603" s="424"/>
      <c r="E603" s="424"/>
      <c r="F603" s="424"/>
      <c r="G603" s="424"/>
      <c r="H603" s="424"/>
      <c r="I603" s="425"/>
      <c r="J603" s="425"/>
      <c r="K603" s="425"/>
      <c r="L603" s="425"/>
      <c r="M603" s="425"/>
      <c r="N603" s="425"/>
      <c r="Q603" s="418"/>
      <c r="R603" s="418"/>
    </row>
    <row r="604" spans="4:18" x14ac:dyDescent="0.2">
      <c r="D604" s="424"/>
      <c r="E604" s="424"/>
      <c r="F604" s="424"/>
      <c r="G604" s="424"/>
      <c r="H604" s="424"/>
      <c r="I604" s="425"/>
      <c r="J604" s="425"/>
      <c r="K604" s="425"/>
      <c r="L604" s="425"/>
      <c r="M604" s="425"/>
      <c r="N604" s="425"/>
      <c r="Q604" s="418"/>
      <c r="R604" s="418"/>
    </row>
    <row r="605" spans="4:18" x14ac:dyDescent="0.2">
      <c r="D605" s="424"/>
      <c r="E605" s="424"/>
      <c r="F605" s="424"/>
      <c r="G605" s="424"/>
      <c r="H605" s="424"/>
      <c r="I605" s="425"/>
      <c r="J605" s="425"/>
      <c r="K605" s="425"/>
      <c r="L605" s="425"/>
      <c r="M605" s="425"/>
      <c r="N605" s="425"/>
      <c r="Q605" s="418"/>
      <c r="R605" s="418"/>
    </row>
    <row r="606" spans="4:18" x14ac:dyDescent="0.2">
      <c r="D606" s="424"/>
      <c r="E606" s="424"/>
      <c r="F606" s="424"/>
      <c r="G606" s="424"/>
      <c r="H606" s="424"/>
      <c r="I606" s="425"/>
      <c r="J606" s="425"/>
      <c r="K606" s="425"/>
      <c r="L606" s="425"/>
      <c r="M606" s="425"/>
      <c r="N606" s="425"/>
      <c r="Q606" s="418"/>
      <c r="R606" s="418"/>
    </row>
    <row r="607" spans="4:18" x14ac:dyDescent="0.2">
      <c r="D607" s="424"/>
      <c r="E607" s="424"/>
      <c r="F607" s="424"/>
      <c r="G607" s="424"/>
      <c r="H607" s="424"/>
      <c r="I607" s="425"/>
      <c r="J607" s="425"/>
      <c r="K607" s="425"/>
      <c r="L607" s="425"/>
      <c r="M607" s="425"/>
      <c r="N607" s="425"/>
      <c r="Q607" s="418"/>
      <c r="R607" s="418"/>
    </row>
    <row r="608" spans="4:18" x14ac:dyDescent="0.2">
      <c r="D608" s="424"/>
      <c r="E608" s="424"/>
      <c r="F608" s="424"/>
      <c r="G608" s="424"/>
      <c r="H608" s="424"/>
      <c r="I608" s="425"/>
      <c r="J608" s="425"/>
      <c r="K608" s="425"/>
      <c r="L608" s="425"/>
      <c r="M608" s="425"/>
      <c r="N608" s="425"/>
      <c r="Q608" s="418"/>
      <c r="R608" s="418"/>
    </row>
    <row r="609" spans="4:18" x14ac:dyDescent="0.2">
      <c r="D609" s="424"/>
      <c r="E609" s="424"/>
      <c r="F609" s="424"/>
      <c r="G609" s="424"/>
      <c r="H609" s="424"/>
      <c r="I609" s="425"/>
      <c r="J609" s="425"/>
      <c r="K609" s="425"/>
      <c r="L609" s="425"/>
      <c r="M609" s="425"/>
      <c r="N609" s="425"/>
      <c r="Q609" s="418"/>
      <c r="R609" s="418"/>
    </row>
    <row r="610" spans="4:18" x14ac:dyDescent="0.2">
      <c r="D610" s="424"/>
      <c r="E610" s="424"/>
      <c r="F610" s="424"/>
      <c r="G610" s="424"/>
      <c r="H610" s="424"/>
      <c r="I610" s="425"/>
      <c r="J610" s="425"/>
      <c r="K610" s="425"/>
      <c r="L610" s="425"/>
      <c r="M610" s="425"/>
      <c r="N610" s="425"/>
      <c r="Q610" s="418"/>
      <c r="R610" s="418"/>
    </row>
    <row r="611" spans="4:18" x14ac:dyDescent="0.2">
      <c r="D611" s="424"/>
      <c r="E611" s="424"/>
      <c r="F611" s="424"/>
      <c r="G611" s="424"/>
      <c r="H611" s="424"/>
      <c r="I611" s="425"/>
      <c r="J611" s="425"/>
      <c r="K611" s="425"/>
      <c r="L611" s="425"/>
      <c r="M611" s="425"/>
      <c r="N611" s="425"/>
      <c r="Q611" s="418"/>
      <c r="R611" s="418"/>
    </row>
    <row r="612" spans="4:18" x14ac:dyDescent="0.2">
      <c r="D612" s="424"/>
      <c r="E612" s="424"/>
      <c r="F612" s="424"/>
      <c r="G612" s="424"/>
      <c r="H612" s="424"/>
      <c r="I612" s="425"/>
      <c r="J612" s="425"/>
      <c r="K612" s="425"/>
      <c r="L612" s="425"/>
      <c r="M612" s="425"/>
      <c r="N612" s="425"/>
      <c r="Q612" s="418"/>
      <c r="R612" s="418"/>
    </row>
    <row r="613" spans="4:18" x14ac:dyDescent="0.2">
      <c r="D613" s="424"/>
      <c r="E613" s="424"/>
      <c r="F613" s="424"/>
      <c r="G613" s="424"/>
      <c r="H613" s="424"/>
      <c r="I613" s="425"/>
      <c r="J613" s="425"/>
      <c r="K613" s="425"/>
      <c r="L613" s="425"/>
      <c r="M613" s="425"/>
      <c r="N613" s="425"/>
      <c r="Q613" s="418"/>
      <c r="R613" s="418"/>
    </row>
    <row r="614" spans="4:18" x14ac:dyDescent="0.2">
      <c r="D614" s="424"/>
      <c r="E614" s="424"/>
      <c r="F614" s="424"/>
      <c r="G614" s="424"/>
      <c r="H614" s="424"/>
      <c r="I614" s="425"/>
      <c r="J614" s="425"/>
      <c r="K614" s="425"/>
      <c r="L614" s="425"/>
      <c r="M614" s="425"/>
      <c r="N614" s="425"/>
      <c r="Q614" s="418"/>
      <c r="R614" s="418"/>
    </row>
    <row r="615" spans="4:18" x14ac:dyDescent="0.2">
      <c r="D615" s="424"/>
      <c r="E615" s="424"/>
      <c r="F615" s="424"/>
      <c r="G615" s="424"/>
      <c r="H615" s="424"/>
      <c r="I615" s="425"/>
      <c r="J615" s="425"/>
      <c r="K615" s="425"/>
      <c r="L615" s="425"/>
      <c r="M615" s="425"/>
      <c r="N615" s="425"/>
      <c r="Q615" s="418"/>
      <c r="R615" s="418"/>
    </row>
    <row r="616" spans="4:18" x14ac:dyDescent="0.2">
      <c r="D616" s="424"/>
      <c r="E616" s="424"/>
      <c r="F616" s="424"/>
      <c r="G616" s="424"/>
      <c r="H616" s="424"/>
      <c r="I616" s="425"/>
      <c r="J616" s="425"/>
      <c r="K616" s="425"/>
      <c r="L616" s="425"/>
      <c r="M616" s="425"/>
      <c r="N616" s="425"/>
      <c r="Q616" s="418"/>
      <c r="R616" s="418"/>
    </row>
    <row r="617" spans="4:18" x14ac:dyDescent="0.2">
      <c r="D617" s="424"/>
      <c r="E617" s="424"/>
      <c r="F617" s="424"/>
      <c r="G617" s="424"/>
      <c r="H617" s="424"/>
      <c r="I617" s="425"/>
      <c r="J617" s="425"/>
      <c r="K617" s="425"/>
      <c r="L617" s="425"/>
      <c r="M617" s="425"/>
      <c r="N617" s="425"/>
      <c r="Q617" s="418"/>
      <c r="R617" s="418"/>
    </row>
    <row r="618" spans="4:18" x14ac:dyDescent="0.2">
      <c r="D618" s="424"/>
      <c r="E618" s="424"/>
      <c r="F618" s="424"/>
      <c r="G618" s="424"/>
      <c r="H618" s="424"/>
      <c r="I618" s="425"/>
      <c r="J618" s="425"/>
      <c r="K618" s="425"/>
      <c r="L618" s="425"/>
      <c r="M618" s="425"/>
      <c r="N618" s="425"/>
      <c r="Q618" s="418"/>
      <c r="R618" s="418"/>
    </row>
    <row r="619" spans="4:18" x14ac:dyDescent="0.2">
      <c r="D619" s="424"/>
      <c r="E619" s="424"/>
      <c r="F619" s="424"/>
      <c r="G619" s="424"/>
      <c r="H619" s="424"/>
      <c r="I619" s="425"/>
      <c r="J619" s="425"/>
      <c r="K619" s="425"/>
      <c r="L619" s="425"/>
      <c r="M619" s="425"/>
      <c r="N619" s="425"/>
      <c r="Q619" s="418"/>
      <c r="R619" s="418"/>
    </row>
    <row r="620" spans="4:18" x14ac:dyDescent="0.2">
      <c r="D620" s="424"/>
      <c r="E620" s="424"/>
      <c r="F620" s="424"/>
      <c r="G620" s="424"/>
      <c r="H620" s="424"/>
      <c r="I620" s="425"/>
      <c r="J620" s="425"/>
      <c r="K620" s="425"/>
      <c r="L620" s="425"/>
      <c r="M620" s="425"/>
      <c r="N620" s="425"/>
      <c r="Q620" s="418"/>
      <c r="R620" s="418"/>
    </row>
    <row r="621" spans="4:18" x14ac:dyDescent="0.2">
      <c r="D621" s="424"/>
      <c r="E621" s="424"/>
      <c r="F621" s="424"/>
      <c r="G621" s="424"/>
      <c r="H621" s="424"/>
      <c r="I621" s="425"/>
      <c r="J621" s="425"/>
      <c r="K621" s="425"/>
      <c r="L621" s="425"/>
      <c r="M621" s="425"/>
      <c r="N621" s="425"/>
      <c r="Q621" s="418"/>
      <c r="R621" s="418"/>
    </row>
    <row r="622" spans="4:18" x14ac:dyDescent="0.2">
      <c r="D622" s="424"/>
      <c r="E622" s="424"/>
      <c r="F622" s="424"/>
      <c r="G622" s="424"/>
      <c r="H622" s="424"/>
      <c r="I622" s="425"/>
      <c r="J622" s="425"/>
      <c r="K622" s="425"/>
      <c r="L622" s="425"/>
      <c r="M622" s="425"/>
      <c r="N622" s="425"/>
      <c r="Q622" s="418"/>
      <c r="R622" s="418"/>
    </row>
    <row r="623" spans="4:18" x14ac:dyDescent="0.2">
      <c r="D623" s="424"/>
      <c r="E623" s="424"/>
      <c r="F623" s="424"/>
      <c r="G623" s="424"/>
      <c r="H623" s="424"/>
      <c r="I623" s="425"/>
      <c r="J623" s="425"/>
      <c r="K623" s="425"/>
      <c r="L623" s="425"/>
      <c r="M623" s="425"/>
      <c r="N623" s="425"/>
      <c r="Q623" s="418"/>
      <c r="R623" s="418"/>
    </row>
    <row r="624" spans="4:18" x14ac:dyDescent="0.2">
      <c r="D624" s="424"/>
      <c r="E624" s="424"/>
      <c r="F624" s="424"/>
      <c r="G624" s="424"/>
      <c r="H624" s="424"/>
      <c r="I624" s="425"/>
      <c r="J624" s="425"/>
      <c r="K624" s="425"/>
      <c r="L624" s="425"/>
      <c r="M624" s="425"/>
      <c r="N624" s="425"/>
      <c r="Q624" s="418"/>
      <c r="R624" s="418"/>
    </row>
    <row r="625" spans="4:18" x14ac:dyDescent="0.2">
      <c r="D625" s="424"/>
      <c r="E625" s="424"/>
      <c r="F625" s="424"/>
      <c r="G625" s="424"/>
      <c r="H625" s="424"/>
      <c r="I625" s="425"/>
      <c r="J625" s="425"/>
      <c r="K625" s="425"/>
      <c r="L625" s="425"/>
      <c r="M625" s="425"/>
      <c r="N625" s="425"/>
      <c r="Q625" s="418"/>
      <c r="R625" s="418"/>
    </row>
    <row r="626" spans="4:18" x14ac:dyDescent="0.2">
      <c r="D626" s="424"/>
      <c r="E626" s="424"/>
      <c r="F626" s="424"/>
      <c r="G626" s="424"/>
      <c r="H626" s="424"/>
      <c r="I626" s="425"/>
      <c r="J626" s="425"/>
      <c r="K626" s="425"/>
      <c r="L626" s="425"/>
      <c r="M626" s="425"/>
      <c r="N626" s="425"/>
      <c r="Q626" s="418"/>
      <c r="R626" s="418"/>
    </row>
    <row r="627" spans="4:18" x14ac:dyDescent="0.2">
      <c r="D627" s="424"/>
      <c r="E627" s="424"/>
      <c r="F627" s="424"/>
      <c r="G627" s="424"/>
      <c r="H627" s="424"/>
      <c r="I627" s="425"/>
      <c r="J627" s="425"/>
      <c r="K627" s="425"/>
      <c r="L627" s="425"/>
      <c r="M627" s="425"/>
      <c r="N627" s="425"/>
      <c r="Q627" s="418"/>
      <c r="R627" s="418"/>
    </row>
    <row r="628" spans="4:18" x14ac:dyDescent="0.2">
      <c r="D628" s="424"/>
      <c r="E628" s="424"/>
      <c r="F628" s="424"/>
      <c r="G628" s="424"/>
      <c r="H628" s="424"/>
      <c r="I628" s="425"/>
      <c r="J628" s="425"/>
      <c r="K628" s="425"/>
      <c r="L628" s="425"/>
      <c r="M628" s="425"/>
      <c r="N628" s="425"/>
      <c r="Q628" s="418"/>
      <c r="R628" s="418"/>
    </row>
    <row r="629" spans="4:18" x14ac:dyDescent="0.2">
      <c r="D629" s="424"/>
      <c r="E629" s="424"/>
      <c r="F629" s="424"/>
      <c r="G629" s="424"/>
      <c r="H629" s="424"/>
      <c r="I629" s="425"/>
      <c r="J629" s="425"/>
      <c r="K629" s="425"/>
      <c r="L629" s="425"/>
      <c r="M629" s="425"/>
      <c r="N629" s="425"/>
      <c r="Q629" s="418"/>
      <c r="R629" s="418"/>
    </row>
    <row r="630" spans="4:18" x14ac:dyDescent="0.2">
      <c r="D630" s="424"/>
      <c r="E630" s="424"/>
      <c r="F630" s="424"/>
      <c r="G630" s="424"/>
      <c r="H630" s="424"/>
      <c r="I630" s="425"/>
      <c r="J630" s="425"/>
      <c r="K630" s="425"/>
      <c r="L630" s="425"/>
      <c r="M630" s="425"/>
      <c r="N630" s="425"/>
      <c r="Q630" s="418"/>
      <c r="R630" s="418"/>
    </row>
    <row r="631" spans="4:18" x14ac:dyDescent="0.2">
      <c r="D631" s="424"/>
      <c r="E631" s="424"/>
      <c r="F631" s="424"/>
      <c r="G631" s="424"/>
      <c r="H631" s="424"/>
      <c r="I631" s="425"/>
      <c r="J631" s="425"/>
      <c r="K631" s="425"/>
      <c r="L631" s="425"/>
      <c r="M631" s="425"/>
      <c r="N631" s="425"/>
      <c r="Q631" s="418"/>
      <c r="R631" s="418"/>
    </row>
    <row r="632" spans="4:18" x14ac:dyDescent="0.2">
      <c r="D632" s="424"/>
      <c r="E632" s="424"/>
      <c r="F632" s="424"/>
      <c r="G632" s="424"/>
      <c r="H632" s="424"/>
      <c r="I632" s="425"/>
      <c r="J632" s="425"/>
      <c r="K632" s="425"/>
      <c r="L632" s="425"/>
      <c r="M632" s="425"/>
      <c r="N632" s="425"/>
      <c r="Q632" s="418"/>
      <c r="R632" s="418"/>
    </row>
    <row r="633" spans="4:18" x14ac:dyDescent="0.2">
      <c r="D633" s="424"/>
      <c r="E633" s="424"/>
      <c r="F633" s="424"/>
      <c r="G633" s="424"/>
      <c r="H633" s="424"/>
      <c r="I633" s="425"/>
      <c r="J633" s="425"/>
      <c r="K633" s="425"/>
      <c r="L633" s="425"/>
      <c r="M633" s="425"/>
      <c r="N633" s="425"/>
      <c r="Q633" s="418"/>
      <c r="R633" s="418"/>
    </row>
    <row r="634" spans="4:18" x14ac:dyDescent="0.2">
      <c r="D634" s="424"/>
      <c r="E634" s="424"/>
      <c r="F634" s="424"/>
      <c r="G634" s="424"/>
      <c r="H634" s="424"/>
      <c r="I634" s="425"/>
      <c r="J634" s="425"/>
      <c r="K634" s="425"/>
      <c r="L634" s="425"/>
      <c r="M634" s="425"/>
      <c r="N634" s="425"/>
      <c r="Q634" s="418"/>
      <c r="R634" s="418"/>
    </row>
    <row r="635" spans="4:18" x14ac:dyDescent="0.2">
      <c r="D635" s="424"/>
      <c r="E635" s="424"/>
      <c r="F635" s="424"/>
      <c r="G635" s="424"/>
      <c r="H635" s="424"/>
      <c r="I635" s="425"/>
      <c r="J635" s="425"/>
      <c r="K635" s="425"/>
      <c r="L635" s="425"/>
      <c r="M635" s="425"/>
      <c r="N635" s="425"/>
      <c r="Q635" s="418"/>
      <c r="R635" s="418"/>
    </row>
    <row r="636" spans="4:18" x14ac:dyDescent="0.2">
      <c r="D636" s="424"/>
      <c r="E636" s="424"/>
      <c r="F636" s="424"/>
      <c r="G636" s="424"/>
      <c r="H636" s="424"/>
      <c r="I636" s="425"/>
      <c r="J636" s="425"/>
      <c r="K636" s="425"/>
      <c r="L636" s="425"/>
      <c r="M636" s="425"/>
      <c r="N636" s="425"/>
      <c r="Q636" s="418"/>
      <c r="R636" s="418"/>
    </row>
    <row r="637" spans="4:18" x14ac:dyDescent="0.2">
      <c r="D637" s="424"/>
      <c r="E637" s="424"/>
      <c r="F637" s="424"/>
      <c r="G637" s="424"/>
      <c r="H637" s="424"/>
      <c r="I637" s="425"/>
      <c r="J637" s="425"/>
      <c r="K637" s="425"/>
      <c r="L637" s="425"/>
      <c r="M637" s="425"/>
      <c r="N637" s="425"/>
      <c r="Q637" s="418"/>
      <c r="R637" s="418"/>
    </row>
    <row r="638" spans="4:18" x14ac:dyDescent="0.2">
      <c r="D638" s="424"/>
      <c r="E638" s="424"/>
      <c r="F638" s="424"/>
      <c r="G638" s="424"/>
      <c r="H638" s="424"/>
      <c r="I638" s="425"/>
      <c r="J638" s="425"/>
      <c r="K638" s="425"/>
      <c r="L638" s="425"/>
      <c r="M638" s="425"/>
      <c r="N638" s="425"/>
      <c r="Q638" s="418"/>
      <c r="R638" s="418"/>
    </row>
    <row r="639" spans="4:18" x14ac:dyDescent="0.2">
      <c r="D639" s="424"/>
      <c r="E639" s="424"/>
      <c r="F639" s="424"/>
      <c r="G639" s="424"/>
      <c r="H639" s="424"/>
      <c r="I639" s="425"/>
      <c r="J639" s="425"/>
      <c r="K639" s="425"/>
      <c r="L639" s="425"/>
      <c r="M639" s="425"/>
      <c r="N639" s="425"/>
      <c r="Q639" s="418"/>
      <c r="R639" s="418"/>
    </row>
    <row r="640" spans="4:18" x14ac:dyDescent="0.2">
      <c r="D640" s="424"/>
      <c r="E640" s="424"/>
      <c r="F640" s="424"/>
      <c r="G640" s="424"/>
      <c r="H640" s="424"/>
      <c r="I640" s="425"/>
      <c r="J640" s="425"/>
      <c r="K640" s="425"/>
      <c r="L640" s="425"/>
      <c r="M640" s="425"/>
      <c r="N640" s="425"/>
      <c r="Q640" s="418"/>
      <c r="R640" s="418"/>
    </row>
    <row r="641" spans="4:18" x14ac:dyDescent="0.2">
      <c r="D641" s="424"/>
      <c r="E641" s="424"/>
      <c r="F641" s="424"/>
      <c r="G641" s="424"/>
      <c r="H641" s="424"/>
      <c r="I641" s="425"/>
      <c r="J641" s="425"/>
      <c r="K641" s="425"/>
      <c r="L641" s="425"/>
      <c r="M641" s="425"/>
      <c r="N641" s="425"/>
      <c r="Q641" s="418"/>
      <c r="R641" s="418"/>
    </row>
    <row r="642" spans="4:18" x14ac:dyDescent="0.2">
      <c r="D642" s="424"/>
      <c r="E642" s="424"/>
      <c r="F642" s="424"/>
      <c r="G642" s="424"/>
      <c r="H642" s="424"/>
      <c r="I642" s="425"/>
      <c r="J642" s="425"/>
      <c r="K642" s="425"/>
      <c r="L642" s="425"/>
      <c r="M642" s="425"/>
      <c r="N642" s="425"/>
      <c r="Q642" s="418"/>
      <c r="R642" s="418"/>
    </row>
    <row r="643" spans="4:18" x14ac:dyDescent="0.2">
      <c r="D643" s="424"/>
      <c r="E643" s="424"/>
      <c r="F643" s="424"/>
      <c r="G643" s="424"/>
      <c r="H643" s="424"/>
      <c r="I643" s="425"/>
      <c r="J643" s="425"/>
      <c r="K643" s="425"/>
      <c r="L643" s="425"/>
      <c r="M643" s="425"/>
      <c r="N643" s="425"/>
      <c r="Q643" s="418"/>
      <c r="R643" s="418"/>
    </row>
    <row r="644" spans="4:18" x14ac:dyDescent="0.2">
      <c r="D644" s="424"/>
      <c r="E644" s="424"/>
      <c r="F644" s="424"/>
      <c r="G644" s="424"/>
      <c r="H644" s="424"/>
      <c r="I644" s="425"/>
      <c r="J644" s="425"/>
      <c r="K644" s="425"/>
      <c r="L644" s="425"/>
      <c r="M644" s="425"/>
      <c r="N644" s="425"/>
      <c r="Q644" s="418"/>
      <c r="R644" s="418"/>
    </row>
    <row r="645" spans="4:18" x14ac:dyDescent="0.2">
      <c r="D645" s="424"/>
      <c r="E645" s="424"/>
      <c r="F645" s="424"/>
      <c r="G645" s="424"/>
      <c r="H645" s="424"/>
      <c r="I645" s="425"/>
      <c r="J645" s="425"/>
      <c r="K645" s="425"/>
      <c r="L645" s="425"/>
      <c r="M645" s="425"/>
      <c r="N645" s="425"/>
      <c r="Q645" s="418"/>
      <c r="R645" s="418"/>
    </row>
    <row r="646" spans="4:18" x14ac:dyDescent="0.2">
      <c r="D646" s="424"/>
      <c r="E646" s="424"/>
      <c r="F646" s="424"/>
      <c r="G646" s="424"/>
      <c r="H646" s="424"/>
      <c r="I646" s="425"/>
      <c r="J646" s="425"/>
      <c r="K646" s="425"/>
      <c r="L646" s="425"/>
      <c r="M646" s="425"/>
      <c r="N646" s="425"/>
      <c r="Q646" s="418"/>
      <c r="R646" s="418"/>
    </row>
    <row r="647" spans="4:18" x14ac:dyDescent="0.2">
      <c r="D647" s="424"/>
      <c r="E647" s="424"/>
      <c r="F647" s="424"/>
      <c r="G647" s="424"/>
      <c r="H647" s="424"/>
      <c r="I647" s="425"/>
      <c r="J647" s="425"/>
      <c r="K647" s="425"/>
      <c r="L647" s="425"/>
      <c r="M647" s="425"/>
      <c r="N647" s="425"/>
      <c r="Q647" s="418"/>
      <c r="R647" s="418"/>
    </row>
    <row r="648" spans="4:18" x14ac:dyDescent="0.2">
      <c r="D648" s="424"/>
      <c r="E648" s="424"/>
      <c r="F648" s="424"/>
      <c r="G648" s="424"/>
      <c r="H648" s="424"/>
      <c r="I648" s="425"/>
      <c r="J648" s="425"/>
      <c r="K648" s="425"/>
      <c r="L648" s="425"/>
      <c r="M648" s="425"/>
      <c r="N648" s="425"/>
      <c r="Q648" s="418"/>
      <c r="R648" s="418"/>
    </row>
    <row r="649" spans="4:18" x14ac:dyDescent="0.2">
      <c r="D649" s="424"/>
      <c r="E649" s="424"/>
      <c r="F649" s="424"/>
      <c r="G649" s="424"/>
      <c r="H649" s="424"/>
      <c r="I649" s="425"/>
      <c r="J649" s="425"/>
      <c r="K649" s="425"/>
      <c r="L649" s="425"/>
      <c r="M649" s="425"/>
      <c r="N649" s="425"/>
      <c r="Q649" s="418"/>
      <c r="R649" s="418"/>
    </row>
    <row r="650" spans="4:18" x14ac:dyDescent="0.2">
      <c r="D650" s="424"/>
      <c r="E650" s="424"/>
      <c r="F650" s="424"/>
      <c r="G650" s="424"/>
      <c r="H650" s="424"/>
      <c r="I650" s="425"/>
      <c r="J650" s="425"/>
      <c r="K650" s="425"/>
      <c r="L650" s="425"/>
      <c r="M650" s="425"/>
      <c r="N650" s="425"/>
      <c r="Q650" s="418"/>
      <c r="R650" s="418"/>
    </row>
    <row r="651" spans="4:18" x14ac:dyDescent="0.2">
      <c r="D651" s="424"/>
      <c r="E651" s="424"/>
      <c r="F651" s="424"/>
      <c r="G651" s="424"/>
      <c r="H651" s="424"/>
      <c r="I651" s="425"/>
      <c r="J651" s="425"/>
      <c r="K651" s="425"/>
      <c r="L651" s="425"/>
      <c r="M651" s="425"/>
      <c r="N651" s="425"/>
      <c r="Q651" s="418"/>
      <c r="R651" s="418"/>
    </row>
    <row r="652" spans="4:18" x14ac:dyDescent="0.2">
      <c r="D652" s="424"/>
      <c r="E652" s="424"/>
      <c r="F652" s="424"/>
      <c r="G652" s="424"/>
      <c r="H652" s="424"/>
      <c r="I652" s="425"/>
      <c r="J652" s="425"/>
      <c r="K652" s="425"/>
      <c r="L652" s="425"/>
      <c r="M652" s="425"/>
      <c r="N652" s="425"/>
      <c r="Q652" s="418"/>
      <c r="R652" s="418"/>
    </row>
    <row r="653" spans="4:18" x14ac:dyDescent="0.2">
      <c r="D653" s="424"/>
      <c r="E653" s="424"/>
      <c r="F653" s="424"/>
      <c r="G653" s="424"/>
      <c r="H653" s="424"/>
      <c r="I653" s="425"/>
      <c r="J653" s="425"/>
      <c r="K653" s="425"/>
      <c r="L653" s="425"/>
      <c r="M653" s="425"/>
      <c r="N653" s="425"/>
      <c r="Q653" s="418"/>
      <c r="R653" s="418"/>
    </row>
    <row r="654" spans="4:18" x14ac:dyDescent="0.2">
      <c r="D654" s="424"/>
      <c r="E654" s="424"/>
      <c r="F654" s="424"/>
      <c r="G654" s="424"/>
      <c r="H654" s="424"/>
      <c r="I654" s="425"/>
      <c r="J654" s="425"/>
      <c r="K654" s="425"/>
      <c r="L654" s="425"/>
      <c r="M654" s="425"/>
      <c r="N654" s="425"/>
      <c r="Q654" s="418"/>
      <c r="R654" s="418"/>
    </row>
    <row r="655" spans="4:18" x14ac:dyDescent="0.2">
      <c r="D655" s="424"/>
      <c r="E655" s="424"/>
      <c r="F655" s="424"/>
      <c r="G655" s="424"/>
      <c r="H655" s="424"/>
      <c r="I655" s="425"/>
      <c r="J655" s="425"/>
      <c r="K655" s="425"/>
      <c r="L655" s="425"/>
      <c r="M655" s="425"/>
      <c r="N655" s="425"/>
      <c r="Q655" s="418"/>
      <c r="R655" s="418"/>
    </row>
    <row r="656" spans="4:18" x14ac:dyDescent="0.2">
      <c r="D656" s="424"/>
      <c r="E656" s="424"/>
      <c r="F656" s="424"/>
      <c r="G656" s="424"/>
      <c r="H656" s="424"/>
      <c r="I656" s="425"/>
      <c r="J656" s="425"/>
      <c r="K656" s="425"/>
      <c r="L656" s="425"/>
      <c r="M656" s="425"/>
      <c r="N656" s="425"/>
      <c r="Q656" s="418"/>
      <c r="R656" s="418"/>
    </row>
    <row r="657" spans="4:18" x14ac:dyDescent="0.2">
      <c r="D657" s="424"/>
      <c r="E657" s="424"/>
      <c r="F657" s="424"/>
      <c r="G657" s="424"/>
      <c r="H657" s="424"/>
      <c r="I657" s="425"/>
      <c r="J657" s="425"/>
      <c r="K657" s="425"/>
      <c r="L657" s="425"/>
      <c r="M657" s="425"/>
      <c r="N657" s="425"/>
      <c r="Q657" s="418"/>
      <c r="R657" s="418"/>
    </row>
    <row r="658" spans="4:18" x14ac:dyDescent="0.2">
      <c r="D658" s="424"/>
      <c r="E658" s="424"/>
      <c r="F658" s="424"/>
      <c r="G658" s="424"/>
      <c r="H658" s="424"/>
      <c r="I658" s="425"/>
      <c r="J658" s="425"/>
      <c r="K658" s="425"/>
      <c r="L658" s="425"/>
      <c r="M658" s="425"/>
      <c r="N658" s="425"/>
      <c r="Q658" s="418"/>
      <c r="R658" s="418"/>
    </row>
    <row r="659" spans="4:18" x14ac:dyDescent="0.2">
      <c r="D659" s="424"/>
      <c r="E659" s="424"/>
      <c r="F659" s="424"/>
      <c r="G659" s="424"/>
      <c r="H659" s="424"/>
      <c r="I659" s="425"/>
      <c r="J659" s="425"/>
      <c r="K659" s="425"/>
      <c r="L659" s="425"/>
      <c r="M659" s="425"/>
      <c r="N659" s="425"/>
      <c r="Q659" s="418"/>
      <c r="R659" s="418"/>
    </row>
    <row r="660" spans="4:18" x14ac:dyDescent="0.2">
      <c r="D660" s="424"/>
      <c r="E660" s="424"/>
      <c r="F660" s="424"/>
      <c r="G660" s="424"/>
      <c r="H660" s="424"/>
      <c r="I660" s="425"/>
      <c r="J660" s="425"/>
      <c r="K660" s="425"/>
      <c r="L660" s="425"/>
      <c r="M660" s="425"/>
      <c r="N660" s="425"/>
      <c r="Q660" s="418"/>
      <c r="R660" s="418"/>
    </row>
    <row r="661" spans="4:18" x14ac:dyDescent="0.2">
      <c r="D661" s="424"/>
      <c r="E661" s="424"/>
      <c r="F661" s="424"/>
      <c r="G661" s="424"/>
      <c r="H661" s="424"/>
      <c r="I661" s="425"/>
      <c r="J661" s="425"/>
      <c r="K661" s="425"/>
      <c r="L661" s="425"/>
      <c r="M661" s="425"/>
      <c r="N661" s="425"/>
      <c r="Q661" s="418"/>
      <c r="R661" s="418"/>
    </row>
    <row r="662" spans="4:18" x14ac:dyDescent="0.2">
      <c r="D662" s="424"/>
      <c r="E662" s="424"/>
      <c r="F662" s="424"/>
      <c r="G662" s="424"/>
      <c r="H662" s="424"/>
      <c r="I662" s="425"/>
      <c r="J662" s="425"/>
      <c r="K662" s="425"/>
      <c r="L662" s="425"/>
      <c r="M662" s="425"/>
      <c r="N662" s="425"/>
      <c r="Q662" s="418"/>
      <c r="R662" s="418"/>
    </row>
    <row r="663" spans="4:18" x14ac:dyDescent="0.2">
      <c r="D663" s="424"/>
      <c r="E663" s="424"/>
      <c r="F663" s="424"/>
      <c r="G663" s="424"/>
      <c r="H663" s="424"/>
      <c r="I663" s="425"/>
      <c r="J663" s="425"/>
      <c r="K663" s="425"/>
      <c r="L663" s="425"/>
      <c r="M663" s="425"/>
      <c r="N663" s="425"/>
      <c r="Q663" s="418"/>
      <c r="R663" s="418"/>
    </row>
    <row r="664" spans="4:18" x14ac:dyDescent="0.2">
      <c r="D664" s="424"/>
      <c r="E664" s="424"/>
      <c r="F664" s="424"/>
      <c r="G664" s="424"/>
      <c r="H664" s="424"/>
      <c r="I664" s="425"/>
      <c r="J664" s="425"/>
      <c r="K664" s="425"/>
      <c r="L664" s="425"/>
      <c r="M664" s="425"/>
      <c r="N664" s="425"/>
      <c r="Q664" s="418"/>
      <c r="R664" s="418"/>
    </row>
    <row r="665" spans="4:18" x14ac:dyDescent="0.2">
      <c r="D665" s="424"/>
      <c r="E665" s="424"/>
      <c r="F665" s="424"/>
      <c r="G665" s="424"/>
      <c r="H665" s="424"/>
      <c r="I665" s="425"/>
      <c r="J665" s="425"/>
      <c r="K665" s="425"/>
      <c r="L665" s="425"/>
      <c r="M665" s="425"/>
      <c r="N665" s="425"/>
    </row>
    <row r="666" spans="4:18" x14ac:dyDescent="0.2">
      <c r="D666" s="424"/>
      <c r="E666" s="424"/>
      <c r="F666" s="424"/>
      <c r="G666" s="424"/>
      <c r="H666" s="424"/>
      <c r="I666" s="425"/>
      <c r="J666" s="425"/>
      <c r="K666" s="425"/>
      <c r="L666" s="425"/>
      <c r="M666" s="425"/>
      <c r="N666" s="425"/>
    </row>
    <row r="667" spans="4:18" x14ac:dyDescent="0.2">
      <c r="D667" s="424"/>
      <c r="E667" s="424"/>
      <c r="F667" s="424"/>
      <c r="G667" s="424"/>
      <c r="J667" s="425"/>
      <c r="K667" s="425"/>
      <c r="L667" s="425"/>
      <c r="M667" s="425"/>
      <c r="N667" s="425"/>
    </row>
    <row r="668" spans="4:18" x14ac:dyDescent="0.2">
      <c r="D668" s="424"/>
      <c r="E668" s="424"/>
      <c r="F668" s="424"/>
      <c r="G668" s="424"/>
      <c r="J668" s="425"/>
      <c r="K668" s="425"/>
      <c r="L668" s="425"/>
      <c r="M668" s="425"/>
      <c r="N668" s="425"/>
    </row>
    <row r="669" spans="4:18" x14ac:dyDescent="0.2">
      <c r="D669" s="424"/>
      <c r="E669" s="424"/>
      <c r="F669" s="424"/>
      <c r="G669" s="424"/>
      <c r="J669" s="425"/>
      <c r="K669" s="425"/>
      <c r="L669" s="425"/>
      <c r="M669" s="425"/>
      <c r="N669" s="425"/>
    </row>
    <row r="670" spans="4:18" x14ac:dyDescent="0.2">
      <c r="D670" s="424"/>
      <c r="E670" s="424"/>
      <c r="F670" s="424"/>
      <c r="G670" s="424"/>
      <c r="J670" s="425"/>
      <c r="K670" s="425"/>
      <c r="L670" s="425"/>
      <c r="M670" s="425"/>
      <c r="N670" s="425"/>
    </row>
    <row r="671" spans="4:18" x14ac:dyDescent="0.2">
      <c r="D671" s="424"/>
      <c r="E671" s="424"/>
      <c r="F671" s="424"/>
      <c r="G671" s="424"/>
      <c r="J671" s="425"/>
      <c r="K671" s="425"/>
      <c r="L671" s="425"/>
      <c r="M671" s="425"/>
      <c r="N671" s="425"/>
    </row>
    <row r="672" spans="4:18" x14ac:dyDescent="0.2">
      <c r="D672" s="424"/>
      <c r="E672" s="424"/>
      <c r="F672" s="424"/>
      <c r="G672" s="424"/>
      <c r="J672" s="425"/>
      <c r="K672" s="425"/>
      <c r="L672" s="425"/>
      <c r="M672" s="425"/>
      <c r="N672" s="425"/>
    </row>
    <row r="673" spans="4:14" x14ac:dyDescent="0.2">
      <c r="D673" s="424"/>
      <c r="E673" s="424"/>
      <c r="F673" s="424"/>
      <c r="G673" s="424"/>
      <c r="J673" s="425"/>
      <c r="K673" s="425"/>
      <c r="L673" s="425"/>
      <c r="M673" s="425"/>
      <c r="N673" s="425"/>
    </row>
    <row r="674" spans="4:14" x14ac:dyDescent="0.2">
      <c r="D674" s="424"/>
      <c r="E674" s="424"/>
      <c r="F674" s="424"/>
      <c r="G674" s="424"/>
      <c r="J674" s="425"/>
      <c r="K674" s="425"/>
      <c r="L674" s="425"/>
      <c r="M674" s="425"/>
      <c r="N674" s="425"/>
    </row>
    <row r="675" spans="4:14" x14ac:dyDescent="0.2">
      <c r="D675" s="424"/>
      <c r="E675" s="424"/>
      <c r="F675" s="424"/>
      <c r="G675" s="424"/>
      <c r="J675" s="425"/>
      <c r="K675" s="425"/>
      <c r="L675" s="425"/>
      <c r="M675" s="425"/>
      <c r="N675" s="425"/>
    </row>
    <row r="676" spans="4:14" x14ac:dyDescent="0.2">
      <c r="J676" s="425"/>
      <c r="K676" s="425"/>
      <c r="L676" s="425"/>
      <c r="M676" s="425"/>
      <c r="N676" s="425"/>
    </row>
    <row r="677" spans="4:14" x14ac:dyDescent="0.2">
      <c r="J677" s="425"/>
      <c r="K677" s="425"/>
      <c r="L677" s="425"/>
      <c r="M677" s="425"/>
      <c r="N677" s="425"/>
    </row>
    <row r="678" spans="4:14" x14ac:dyDescent="0.2">
      <c r="J678" s="425"/>
      <c r="K678" s="425"/>
      <c r="L678" s="425"/>
      <c r="M678" s="425"/>
      <c r="N678" s="425"/>
    </row>
    <row r="679" spans="4:14" x14ac:dyDescent="0.2">
      <c r="J679" s="425"/>
      <c r="K679" s="425"/>
      <c r="L679" s="425"/>
      <c r="M679" s="425"/>
      <c r="N679" s="425"/>
    </row>
  </sheetData>
  <mergeCells count="2">
    <mergeCell ref="D3:E3"/>
    <mergeCell ref="F3:G3"/>
  </mergeCells>
  <phoneticPr fontId="24" type="noConversion"/>
  <pageMargins left="0.7" right="0.4"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L376"/>
  <sheetViews>
    <sheetView workbookViewId="0">
      <selection sqref="A1:AP1"/>
    </sheetView>
  </sheetViews>
  <sheetFormatPr defaultRowHeight="11.25" x14ac:dyDescent="0.2"/>
  <cols>
    <col min="1" max="2" width="9.140625" style="25"/>
    <col min="3" max="3" width="41.42578125" style="25" customWidth="1"/>
    <col min="4" max="5" width="12" style="25" bestFit="1" customWidth="1"/>
    <col min="6" max="6" width="9.140625" style="263"/>
    <col min="7" max="7" width="10.7109375" style="25" bestFit="1" customWidth="1"/>
    <col min="8" max="8" width="13.5703125" style="25" bestFit="1" customWidth="1"/>
    <col min="9" max="9" width="12.5703125" style="25" bestFit="1" customWidth="1"/>
    <col min="10" max="11" width="11.28515625" style="25" bestFit="1" customWidth="1"/>
    <col min="12" max="16384" width="9.140625" style="25"/>
  </cols>
  <sheetData>
    <row r="1" spans="1:10" x14ac:dyDescent="0.2">
      <c r="A1" s="25" t="s">
        <v>165</v>
      </c>
    </row>
    <row r="2" spans="1:10" x14ac:dyDescent="0.2">
      <c r="A2" s="25" t="s">
        <v>166</v>
      </c>
      <c r="D2" s="49"/>
      <c r="H2" s="50"/>
      <c r="I2" s="49"/>
      <c r="J2" s="49"/>
    </row>
    <row r="3" spans="1:10" x14ac:dyDescent="0.2">
      <c r="A3" s="25" t="s">
        <v>1009</v>
      </c>
      <c r="D3" s="49">
        <f>D4-E4</f>
        <v>0</v>
      </c>
      <c r="H3" s="49"/>
      <c r="I3" s="50"/>
      <c r="J3" s="50"/>
    </row>
    <row r="4" spans="1:10" x14ac:dyDescent="0.2">
      <c r="D4" s="49">
        <f>SUM(D9:D376)</f>
        <v>876390435</v>
      </c>
      <c r="E4" s="49">
        <f>SUM(E9:E376)</f>
        <v>876390435</v>
      </c>
      <c r="H4" s="50"/>
      <c r="I4" s="50"/>
      <c r="J4" s="50"/>
    </row>
    <row r="5" spans="1:10" x14ac:dyDescent="0.2">
      <c r="G5" s="48" t="s">
        <v>354</v>
      </c>
      <c r="H5" s="73" t="s">
        <v>344</v>
      </c>
      <c r="I5" s="74" t="s">
        <v>311</v>
      </c>
      <c r="J5" s="48" t="s">
        <v>345</v>
      </c>
    </row>
    <row r="6" spans="1:10" x14ac:dyDescent="0.2">
      <c r="D6" s="48" t="s">
        <v>158</v>
      </c>
      <c r="E6" s="48" t="s">
        <v>159</v>
      </c>
      <c r="F6" s="263" t="s">
        <v>1215</v>
      </c>
    </row>
    <row r="8" spans="1:10" x14ac:dyDescent="0.2">
      <c r="A8" s="25">
        <v>1</v>
      </c>
      <c r="B8" s="153" t="s">
        <v>167</v>
      </c>
      <c r="C8" s="153"/>
      <c r="D8" s="101"/>
      <c r="E8" s="101"/>
      <c r="F8" s="364" t="s">
        <v>1216</v>
      </c>
    </row>
    <row r="9" spans="1:10" x14ac:dyDescent="0.2">
      <c r="B9" s="153" t="s">
        <v>168</v>
      </c>
      <c r="C9" s="153"/>
      <c r="D9" s="101">
        <v>28000000</v>
      </c>
      <c r="E9" s="101"/>
      <c r="F9" s="364"/>
    </row>
    <row r="10" spans="1:10" x14ac:dyDescent="0.2">
      <c r="A10" s="103"/>
      <c r="B10" s="153" t="s">
        <v>981</v>
      </c>
      <c r="C10" s="153"/>
      <c r="D10" s="321">
        <v>0</v>
      </c>
      <c r="E10" s="101"/>
      <c r="F10" s="364"/>
    </row>
    <row r="11" spans="1:10" x14ac:dyDescent="0.2">
      <c r="B11" s="153" t="s">
        <v>169</v>
      </c>
      <c r="C11" s="153"/>
      <c r="D11" s="101">
        <v>27606591</v>
      </c>
      <c r="E11" s="101"/>
      <c r="F11" s="364"/>
    </row>
    <row r="12" spans="1:10" x14ac:dyDescent="0.2">
      <c r="B12" s="153"/>
      <c r="C12" s="153" t="s">
        <v>982</v>
      </c>
      <c r="D12" s="101"/>
      <c r="E12" s="321">
        <v>55606591</v>
      </c>
      <c r="F12" s="364"/>
      <c r="I12" s="49"/>
      <c r="J12" s="49">
        <f>-E12</f>
        <v>-55606591</v>
      </c>
    </row>
    <row r="13" spans="1:10" x14ac:dyDescent="0.2">
      <c r="B13" s="153"/>
      <c r="C13" s="153"/>
      <c r="D13" s="101"/>
      <c r="E13" s="101"/>
      <c r="F13" s="364"/>
    </row>
    <row r="14" spans="1:10" x14ac:dyDescent="0.2">
      <c r="B14" s="153" t="s">
        <v>171</v>
      </c>
      <c r="C14" s="153"/>
      <c r="D14" s="101"/>
      <c r="E14" s="101"/>
      <c r="F14" s="364"/>
    </row>
    <row r="15" spans="1:10" x14ac:dyDescent="0.2">
      <c r="D15" s="50"/>
      <c r="E15" s="50"/>
    </row>
    <row r="16" spans="1:10" x14ac:dyDescent="0.2">
      <c r="A16" s="25">
        <v>2</v>
      </c>
      <c r="B16" s="25" t="s">
        <v>19</v>
      </c>
      <c r="D16" s="50">
        <v>169000000</v>
      </c>
      <c r="E16" s="50"/>
      <c r="F16" s="364" t="s">
        <v>1217</v>
      </c>
      <c r="I16" s="49">
        <f>D16</f>
        <v>169000000</v>
      </c>
    </row>
    <row r="17" spans="1:11" x14ac:dyDescent="0.2">
      <c r="B17" s="25" t="s">
        <v>14</v>
      </c>
      <c r="D17" s="50">
        <v>1000000</v>
      </c>
      <c r="E17" s="50"/>
      <c r="F17" s="364"/>
    </row>
    <row r="18" spans="1:11" x14ac:dyDescent="0.2">
      <c r="B18" s="25" t="s">
        <v>172</v>
      </c>
      <c r="D18" s="50">
        <v>2673302</v>
      </c>
      <c r="E18" s="50"/>
      <c r="F18" s="364"/>
    </row>
    <row r="19" spans="1:11" x14ac:dyDescent="0.2">
      <c r="B19" s="25" t="s">
        <v>173</v>
      </c>
      <c r="D19" s="50">
        <v>68955405</v>
      </c>
      <c r="E19" s="50"/>
      <c r="F19" s="364"/>
    </row>
    <row r="20" spans="1:11" x14ac:dyDescent="0.2">
      <c r="C20" s="25" t="s">
        <v>170</v>
      </c>
      <c r="D20" s="50"/>
      <c r="E20" s="50">
        <v>178282343</v>
      </c>
      <c r="F20" s="364"/>
      <c r="I20" s="49"/>
      <c r="J20" s="49">
        <f>-E20</f>
        <v>-178282343</v>
      </c>
    </row>
    <row r="21" spans="1:11" x14ac:dyDescent="0.2">
      <c r="C21" s="25" t="s">
        <v>21</v>
      </c>
      <c r="D21" s="50"/>
      <c r="E21" s="50">
        <v>16026364</v>
      </c>
      <c r="F21" s="364"/>
    </row>
    <row r="22" spans="1:11" x14ac:dyDescent="0.2">
      <c r="C22" s="25" t="s">
        <v>174</v>
      </c>
      <c r="D22" s="50"/>
      <c r="E22" s="50">
        <v>47320000</v>
      </c>
      <c r="F22" s="364"/>
    </row>
    <row r="23" spans="1:11" x14ac:dyDescent="0.2">
      <c r="D23" s="50"/>
      <c r="E23" s="50"/>
      <c r="F23" s="364"/>
    </row>
    <row r="24" spans="1:11" x14ac:dyDescent="0.2">
      <c r="B24" s="25" t="s">
        <v>175</v>
      </c>
      <c r="D24" s="50"/>
      <c r="E24" s="50"/>
      <c r="F24" s="364"/>
    </row>
    <row r="25" spans="1:11" x14ac:dyDescent="0.2">
      <c r="D25" s="50"/>
      <c r="E25" s="50"/>
    </row>
    <row r="26" spans="1:11" x14ac:dyDescent="0.2">
      <c r="A26" s="25">
        <v>3</v>
      </c>
      <c r="B26" s="25" t="s">
        <v>167</v>
      </c>
      <c r="D26" s="50"/>
      <c r="E26" s="50"/>
      <c r="F26" s="364"/>
    </row>
    <row r="27" spans="1:11" x14ac:dyDescent="0.2">
      <c r="B27" s="25" t="s">
        <v>176</v>
      </c>
      <c r="D27" s="50">
        <v>1000000</v>
      </c>
      <c r="E27" s="50"/>
      <c r="F27" s="364" t="s">
        <v>1218</v>
      </c>
      <c r="H27" s="49"/>
      <c r="J27" s="49">
        <f>-D27</f>
        <v>-1000000</v>
      </c>
    </row>
    <row r="28" spans="1:11" x14ac:dyDescent="0.2">
      <c r="B28" s="25" t="s">
        <v>177</v>
      </c>
      <c r="D28" s="50">
        <v>2</v>
      </c>
      <c r="E28" s="50"/>
      <c r="F28" s="364" t="s">
        <v>1218</v>
      </c>
      <c r="J28" s="49">
        <f>-D28</f>
        <v>-2</v>
      </c>
      <c r="K28" s="49"/>
    </row>
    <row r="29" spans="1:11" x14ac:dyDescent="0.2">
      <c r="B29" s="25" t="s">
        <v>178</v>
      </c>
      <c r="D29" s="50">
        <v>2</v>
      </c>
      <c r="E29" s="50"/>
      <c r="F29" s="364" t="s">
        <v>1218</v>
      </c>
      <c r="J29" s="49">
        <f>-D29</f>
        <v>-2</v>
      </c>
      <c r="K29" s="49"/>
    </row>
    <row r="30" spans="1:11" x14ac:dyDescent="0.2">
      <c r="B30" s="25" t="s">
        <v>179</v>
      </c>
      <c r="D30" s="50">
        <v>1100002</v>
      </c>
      <c r="E30" s="50"/>
      <c r="F30" s="364" t="s">
        <v>1218</v>
      </c>
      <c r="J30" s="49">
        <f>-D30</f>
        <v>-1100002</v>
      </c>
      <c r="K30" s="49"/>
    </row>
    <row r="31" spans="1:11" x14ac:dyDescent="0.2">
      <c r="C31" s="25" t="s">
        <v>380</v>
      </c>
      <c r="D31" s="50"/>
      <c r="E31" s="50">
        <v>2100006</v>
      </c>
      <c r="F31" s="364" t="s">
        <v>1218</v>
      </c>
    </row>
    <row r="32" spans="1:11" x14ac:dyDescent="0.2">
      <c r="D32" s="50"/>
      <c r="E32" s="50"/>
      <c r="F32" s="364"/>
    </row>
    <row r="33" spans="1:9" x14ac:dyDescent="0.2">
      <c r="B33" s="25" t="s">
        <v>171</v>
      </c>
      <c r="D33" s="50"/>
      <c r="E33" s="50"/>
      <c r="F33" s="364"/>
    </row>
    <row r="34" spans="1:9" x14ac:dyDescent="0.2">
      <c r="D34" s="50"/>
      <c r="E34" s="50"/>
    </row>
    <row r="35" spans="1:9" s="190" customFormat="1" x14ac:dyDescent="0.2">
      <c r="A35" s="190">
        <v>4</v>
      </c>
      <c r="B35" s="190" t="s">
        <v>180</v>
      </c>
      <c r="D35" s="89">
        <v>11117219</v>
      </c>
      <c r="E35" s="89"/>
      <c r="F35" s="368">
        <v>3</v>
      </c>
    </row>
    <row r="36" spans="1:9" s="190" customFormat="1" x14ac:dyDescent="0.2">
      <c r="B36" s="190" t="s">
        <v>21</v>
      </c>
      <c r="D36" s="89">
        <v>1694052</v>
      </c>
      <c r="E36" s="89"/>
      <c r="F36" s="368">
        <v>3</v>
      </c>
    </row>
    <row r="37" spans="1:9" s="190" customFormat="1" x14ac:dyDescent="0.2">
      <c r="B37" s="190" t="s">
        <v>22</v>
      </c>
      <c r="D37" s="89">
        <v>4976278</v>
      </c>
      <c r="E37" s="89"/>
      <c r="F37" s="368">
        <v>3</v>
      </c>
    </row>
    <row r="38" spans="1:9" s="190" customFormat="1" x14ac:dyDescent="0.2">
      <c r="C38" s="190" t="s">
        <v>19</v>
      </c>
      <c r="D38" s="89"/>
      <c r="E38" s="89">
        <v>17787549</v>
      </c>
      <c r="F38" s="368">
        <v>3</v>
      </c>
      <c r="I38" s="367">
        <f>-E38</f>
        <v>-17787549</v>
      </c>
    </row>
    <row r="39" spans="1:9" s="190" customFormat="1" x14ac:dyDescent="0.2">
      <c r="D39" s="89"/>
      <c r="E39" s="89"/>
      <c r="F39" s="368"/>
    </row>
    <row r="40" spans="1:9" s="190" customFormat="1" x14ac:dyDescent="0.2">
      <c r="B40" s="190" t="s">
        <v>181</v>
      </c>
      <c r="D40" s="89"/>
      <c r="E40" s="89"/>
      <c r="F40" s="368"/>
    </row>
    <row r="41" spans="1:9" s="190" customFormat="1" x14ac:dyDescent="0.2">
      <c r="D41" s="89"/>
      <c r="E41" s="89"/>
      <c r="F41" s="366"/>
    </row>
    <row r="42" spans="1:9" s="190" customFormat="1" x14ac:dyDescent="0.2">
      <c r="A42" s="190">
        <v>5</v>
      </c>
      <c r="B42" s="190" t="s">
        <v>173</v>
      </c>
      <c r="D42" s="89">
        <v>3500000</v>
      </c>
      <c r="E42" s="89"/>
      <c r="F42" s="368">
        <v>3</v>
      </c>
    </row>
    <row r="43" spans="1:9" s="190" customFormat="1" x14ac:dyDescent="0.2">
      <c r="C43" s="190" t="s">
        <v>19</v>
      </c>
      <c r="D43" s="89"/>
      <c r="E43" s="89">
        <v>3500000</v>
      </c>
      <c r="F43" s="368">
        <v>3</v>
      </c>
      <c r="I43" s="367">
        <f>-E43</f>
        <v>-3500000</v>
      </c>
    </row>
    <row r="44" spans="1:9" s="190" customFormat="1" x14ac:dyDescent="0.2">
      <c r="D44" s="89"/>
      <c r="E44" s="89"/>
      <c r="F44" s="368"/>
    </row>
    <row r="45" spans="1:9" s="190" customFormat="1" x14ac:dyDescent="0.2">
      <c r="B45" s="190" t="s">
        <v>182</v>
      </c>
      <c r="D45" s="89"/>
      <c r="E45" s="89"/>
      <c r="F45" s="368"/>
    </row>
    <row r="46" spans="1:9" s="190" customFormat="1" x14ac:dyDescent="0.2">
      <c r="D46" s="89"/>
      <c r="E46" s="89"/>
      <c r="F46" s="366"/>
    </row>
    <row r="47" spans="1:9" s="190" customFormat="1" x14ac:dyDescent="0.2">
      <c r="A47" s="190">
        <v>6</v>
      </c>
      <c r="B47" s="190" t="s">
        <v>22</v>
      </c>
      <c r="D47" s="89">
        <v>980000</v>
      </c>
      <c r="E47" s="89"/>
      <c r="F47" s="368">
        <v>3</v>
      </c>
    </row>
    <row r="48" spans="1:9" s="190" customFormat="1" x14ac:dyDescent="0.2">
      <c r="C48" s="190" t="s">
        <v>173</v>
      </c>
      <c r="D48" s="89"/>
      <c r="E48" s="89">
        <v>980000</v>
      </c>
      <c r="F48" s="368">
        <v>3</v>
      </c>
    </row>
    <row r="49" spans="1:9" s="190" customFormat="1" x14ac:dyDescent="0.2">
      <c r="D49" s="89"/>
      <c r="E49" s="89"/>
      <c r="F49" s="368"/>
    </row>
    <row r="50" spans="1:9" s="190" customFormat="1" x14ac:dyDescent="0.2">
      <c r="B50" s="190" t="s">
        <v>183</v>
      </c>
      <c r="D50" s="89"/>
      <c r="E50" s="89"/>
      <c r="F50" s="368"/>
    </row>
    <row r="51" spans="1:9" s="190" customFormat="1" x14ac:dyDescent="0.2">
      <c r="D51" s="89"/>
      <c r="E51" s="89"/>
      <c r="F51" s="366"/>
    </row>
    <row r="52" spans="1:9" s="190" customFormat="1" x14ac:dyDescent="0.2">
      <c r="A52" s="190">
        <v>7</v>
      </c>
      <c r="B52" s="190" t="s">
        <v>173</v>
      </c>
      <c r="D52" s="89">
        <v>20411213</v>
      </c>
      <c r="E52" s="89"/>
      <c r="F52" s="368">
        <v>3</v>
      </c>
    </row>
    <row r="53" spans="1:9" s="190" customFormat="1" x14ac:dyDescent="0.2">
      <c r="B53" s="190" t="s">
        <v>21</v>
      </c>
      <c r="D53" s="89">
        <v>3065479</v>
      </c>
      <c r="E53" s="89"/>
      <c r="F53" s="368">
        <v>3</v>
      </c>
    </row>
    <row r="54" spans="1:9" s="190" customFormat="1" x14ac:dyDescent="0.2">
      <c r="B54" s="190" t="s">
        <v>184</v>
      </c>
      <c r="D54" s="89">
        <v>9119849</v>
      </c>
      <c r="E54" s="89"/>
      <c r="F54" s="368">
        <v>3</v>
      </c>
    </row>
    <row r="55" spans="1:9" s="190" customFormat="1" x14ac:dyDescent="0.2">
      <c r="C55" s="190" t="s">
        <v>185</v>
      </c>
      <c r="D55" s="89"/>
      <c r="E55" s="89">
        <v>32596541</v>
      </c>
      <c r="F55" s="368">
        <v>3</v>
      </c>
      <c r="I55" s="367">
        <f>-E55</f>
        <v>-32596541</v>
      </c>
    </row>
    <row r="56" spans="1:9" s="190" customFormat="1" x14ac:dyDescent="0.2">
      <c r="D56" s="89"/>
      <c r="E56" s="89"/>
      <c r="F56" s="368"/>
    </row>
    <row r="57" spans="1:9" s="190" customFormat="1" x14ac:dyDescent="0.2">
      <c r="B57" s="190" t="s">
        <v>186</v>
      </c>
      <c r="D57" s="89"/>
      <c r="E57" s="89"/>
      <c r="F57" s="368"/>
    </row>
    <row r="58" spans="1:9" s="190" customFormat="1" x14ac:dyDescent="0.2">
      <c r="D58" s="89"/>
      <c r="E58" s="89"/>
      <c r="F58" s="366"/>
    </row>
    <row r="59" spans="1:9" s="190" customFormat="1" x14ac:dyDescent="0.2">
      <c r="A59" s="190">
        <v>8</v>
      </c>
      <c r="B59" s="190" t="s">
        <v>173</v>
      </c>
      <c r="D59" s="89">
        <v>36949445</v>
      </c>
      <c r="E59" s="89"/>
      <c r="F59" s="368">
        <v>3</v>
      </c>
    </row>
    <row r="60" spans="1:9" s="190" customFormat="1" x14ac:dyDescent="0.2">
      <c r="B60" s="190" t="s">
        <v>184</v>
      </c>
      <c r="D60" s="89">
        <v>15258805</v>
      </c>
      <c r="E60" s="89"/>
      <c r="F60" s="368">
        <v>3</v>
      </c>
    </row>
    <row r="61" spans="1:9" s="190" customFormat="1" x14ac:dyDescent="0.2">
      <c r="C61" s="190" t="s">
        <v>185</v>
      </c>
      <c r="D61" s="89"/>
      <c r="E61" s="89">
        <v>52208250</v>
      </c>
      <c r="F61" s="368">
        <v>3</v>
      </c>
      <c r="I61" s="367">
        <f>-E61</f>
        <v>-52208250</v>
      </c>
    </row>
    <row r="62" spans="1:9" s="190" customFormat="1" x14ac:dyDescent="0.2">
      <c r="D62" s="89"/>
      <c r="E62" s="89"/>
      <c r="F62" s="368"/>
    </row>
    <row r="63" spans="1:9" s="190" customFormat="1" x14ac:dyDescent="0.2">
      <c r="B63" s="190" t="s">
        <v>187</v>
      </c>
      <c r="D63" s="89"/>
      <c r="E63" s="89"/>
      <c r="F63" s="368"/>
    </row>
    <row r="64" spans="1:9" x14ac:dyDescent="0.2">
      <c r="C64" s="25" t="s">
        <v>0</v>
      </c>
      <c r="D64" s="50"/>
      <c r="E64" s="50"/>
    </row>
    <row r="65" spans="1:9" x14ac:dyDescent="0.2">
      <c r="A65" s="25">
        <v>9</v>
      </c>
      <c r="B65" s="25" t="s">
        <v>21</v>
      </c>
      <c r="D65" s="50">
        <v>11266833</v>
      </c>
      <c r="E65" s="50"/>
      <c r="F65" s="364">
        <v>4</v>
      </c>
    </row>
    <row r="66" spans="1:9" x14ac:dyDescent="0.2">
      <c r="C66" s="25" t="s">
        <v>173</v>
      </c>
      <c r="D66" s="50"/>
      <c r="E66" s="50">
        <v>11266833</v>
      </c>
      <c r="F66" s="364">
        <v>4</v>
      </c>
    </row>
    <row r="67" spans="1:9" x14ac:dyDescent="0.2">
      <c r="D67" s="50"/>
      <c r="E67" s="50"/>
      <c r="F67" s="364"/>
    </row>
    <row r="68" spans="1:9" x14ac:dyDescent="0.2">
      <c r="B68" s="25" t="s">
        <v>188</v>
      </c>
      <c r="D68" s="50"/>
      <c r="E68" s="50"/>
      <c r="F68" s="364"/>
    </row>
    <row r="69" spans="1:9" x14ac:dyDescent="0.2">
      <c r="D69" s="50"/>
      <c r="E69" s="50"/>
    </row>
    <row r="70" spans="1:9" x14ac:dyDescent="0.2">
      <c r="A70" s="190">
        <v>10</v>
      </c>
      <c r="B70" s="153" t="s">
        <v>173</v>
      </c>
      <c r="C70" s="153"/>
      <c r="D70" s="101">
        <v>653706</v>
      </c>
      <c r="E70" s="101"/>
    </row>
    <row r="71" spans="1:9" x14ac:dyDescent="0.2">
      <c r="B71" s="153"/>
      <c r="C71" s="153" t="s">
        <v>189</v>
      </c>
      <c r="D71" s="101"/>
      <c r="E71" s="101">
        <v>653706</v>
      </c>
    </row>
    <row r="72" spans="1:9" x14ac:dyDescent="0.2">
      <c r="B72" s="153"/>
      <c r="C72" s="153"/>
      <c r="D72" s="101"/>
      <c r="E72" s="101"/>
    </row>
    <row r="73" spans="1:9" x14ac:dyDescent="0.2">
      <c r="B73" s="153" t="s">
        <v>190</v>
      </c>
      <c r="C73" s="153"/>
      <c r="D73" s="101"/>
      <c r="E73" s="101"/>
    </row>
    <row r="74" spans="1:9" x14ac:dyDescent="0.2">
      <c r="D74" s="50"/>
      <c r="E74" s="50"/>
    </row>
    <row r="75" spans="1:9" x14ac:dyDescent="0.2">
      <c r="A75" s="25">
        <v>11</v>
      </c>
      <c r="B75" s="25" t="s">
        <v>68</v>
      </c>
      <c r="D75" s="50">
        <v>277875</v>
      </c>
      <c r="E75" s="50"/>
      <c r="I75" s="49">
        <f>D75</f>
        <v>277875</v>
      </c>
    </row>
    <row r="76" spans="1:9" x14ac:dyDescent="0.2">
      <c r="B76" s="25" t="s">
        <v>173</v>
      </c>
      <c r="D76" s="50">
        <v>5557</v>
      </c>
      <c r="E76" s="50"/>
    </row>
    <row r="77" spans="1:9" x14ac:dyDescent="0.2">
      <c r="C77" s="25" t="s">
        <v>172</v>
      </c>
      <c r="D77" s="50"/>
      <c r="E77" s="50">
        <v>257209</v>
      </c>
    </row>
    <row r="78" spans="1:9" x14ac:dyDescent="0.2">
      <c r="C78" s="25" t="s">
        <v>237</v>
      </c>
      <c r="D78" s="50"/>
      <c r="E78" s="50">
        <v>26223</v>
      </c>
      <c r="I78" s="49">
        <f>-E78</f>
        <v>-26223</v>
      </c>
    </row>
    <row r="79" spans="1:9" x14ac:dyDescent="0.2">
      <c r="D79" s="50"/>
      <c r="E79" s="50"/>
    </row>
    <row r="80" spans="1:9" x14ac:dyDescent="0.2">
      <c r="B80" s="25" t="s">
        <v>192</v>
      </c>
      <c r="D80" s="50"/>
      <c r="E80" s="50"/>
    </row>
    <row r="81" spans="1:9" x14ac:dyDescent="0.2">
      <c r="D81" s="50"/>
      <c r="E81" s="50"/>
    </row>
    <row r="82" spans="1:9" x14ac:dyDescent="0.2">
      <c r="A82" s="25">
        <v>12</v>
      </c>
      <c r="B82" s="25" t="s">
        <v>8</v>
      </c>
      <c r="D82" s="50">
        <v>277875</v>
      </c>
      <c r="E82" s="50"/>
      <c r="H82" s="49"/>
      <c r="I82" s="49">
        <f>D82</f>
        <v>277875</v>
      </c>
    </row>
    <row r="83" spans="1:9" x14ac:dyDescent="0.2">
      <c r="B83" s="25" t="s">
        <v>173</v>
      </c>
      <c r="D83" s="50">
        <v>5557</v>
      </c>
      <c r="E83" s="50"/>
    </row>
    <row r="84" spans="1:9" x14ac:dyDescent="0.2">
      <c r="C84" s="25" t="s">
        <v>172</v>
      </c>
      <c r="D84" s="50"/>
      <c r="E84" s="50">
        <v>257207</v>
      </c>
    </row>
    <row r="85" spans="1:9" x14ac:dyDescent="0.2">
      <c r="C85" s="25" t="s">
        <v>191</v>
      </c>
      <c r="D85" s="50"/>
      <c r="E85" s="50">
        <v>26225</v>
      </c>
      <c r="H85" s="49"/>
      <c r="I85" s="49">
        <f>-E85</f>
        <v>-26225</v>
      </c>
    </row>
    <row r="86" spans="1:9" x14ac:dyDescent="0.2">
      <c r="D86" s="50"/>
      <c r="E86" s="50"/>
    </row>
    <row r="87" spans="1:9" x14ac:dyDescent="0.2">
      <c r="B87" s="25" t="s">
        <v>193</v>
      </c>
      <c r="D87" s="50"/>
      <c r="E87" s="50"/>
    </row>
    <row r="88" spans="1:9" x14ac:dyDescent="0.2">
      <c r="D88" s="50"/>
      <c r="E88" s="50"/>
    </row>
    <row r="89" spans="1:9" x14ac:dyDescent="0.2">
      <c r="A89" s="25">
        <v>13</v>
      </c>
      <c r="B89" s="25" t="s">
        <v>95</v>
      </c>
      <c r="D89" s="50">
        <v>3146250</v>
      </c>
      <c r="E89" s="50"/>
      <c r="I89" s="49">
        <f>D89</f>
        <v>3146250</v>
      </c>
    </row>
    <row r="90" spans="1:9" x14ac:dyDescent="0.2">
      <c r="B90" s="25" t="s">
        <v>173</v>
      </c>
      <c r="D90" s="50">
        <v>21544</v>
      </c>
      <c r="E90" s="50"/>
    </row>
    <row r="91" spans="1:9" x14ac:dyDescent="0.2">
      <c r="C91" s="25" t="s">
        <v>172</v>
      </c>
      <c r="D91" s="50"/>
      <c r="E91" s="50">
        <v>3066905</v>
      </c>
    </row>
    <row r="92" spans="1:9" x14ac:dyDescent="0.2">
      <c r="C92" s="25" t="s">
        <v>194</v>
      </c>
      <c r="D92" s="50"/>
      <c r="E92" s="50">
        <v>100889</v>
      </c>
      <c r="I92" s="49">
        <f>-E92</f>
        <v>-100889</v>
      </c>
    </row>
    <row r="93" spans="1:9" x14ac:dyDescent="0.2">
      <c r="D93" s="50"/>
      <c r="E93" s="50"/>
    </row>
    <row r="94" spans="1:9" x14ac:dyDescent="0.2">
      <c r="B94" s="25" t="s">
        <v>195</v>
      </c>
      <c r="D94" s="50"/>
      <c r="E94" s="50"/>
    </row>
    <row r="95" spans="1:9" x14ac:dyDescent="0.2">
      <c r="D95" s="50"/>
      <c r="E95" s="50"/>
    </row>
    <row r="96" spans="1:9" x14ac:dyDescent="0.2">
      <c r="A96" s="25">
        <v>14</v>
      </c>
      <c r="B96" s="25" t="s">
        <v>172</v>
      </c>
      <c r="D96" s="50">
        <v>1033849</v>
      </c>
      <c r="E96" s="50"/>
    </row>
    <row r="97" spans="1:12" x14ac:dyDescent="0.2">
      <c r="C97" s="25" t="s">
        <v>173</v>
      </c>
      <c r="D97" s="50"/>
      <c r="E97" s="50">
        <v>112289</v>
      </c>
    </row>
    <row r="98" spans="1:12" x14ac:dyDescent="0.2">
      <c r="C98" s="25" t="s">
        <v>184</v>
      </c>
      <c r="D98" s="50"/>
      <c r="E98" s="50">
        <v>920720</v>
      </c>
    </row>
    <row r="99" spans="1:12" x14ac:dyDescent="0.2">
      <c r="C99" s="25" t="s">
        <v>20</v>
      </c>
      <c r="D99" s="50"/>
      <c r="E99" s="50">
        <v>840</v>
      </c>
      <c r="I99" s="49">
        <f>-E99</f>
        <v>-840</v>
      </c>
    </row>
    <row r="100" spans="1:12" x14ac:dyDescent="0.2">
      <c r="D100" s="50"/>
      <c r="E100" s="50"/>
    </row>
    <row r="101" spans="1:12" x14ac:dyDescent="0.2">
      <c r="B101" s="25" t="s">
        <v>196</v>
      </c>
      <c r="D101" s="50"/>
      <c r="E101" s="50"/>
    </row>
    <row r="102" spans="1:12" x14ac:dyDescent="0.2">
      <c r="D102" s="50"/>
      <c r="E102" s="50"/>
    </row>
    <row r="103" spans="1:12" x14ac:dyDescent="0.2">
      <c r="A103" s="103">
        <v>15</v>
      </c>
      <c r="B103" s="153" t="s">
        <v>1010</v>
      </c>
      <c r="C103" s="153"/>
      <c r="D103" s="321">
        <v>5222900</v>
      </c>
      <c r="E103" s="101"/>
    </row>
    <row r="104" spans="1:12" x14ac:dyDescent="0.2">
      <c r="B104" s="153" t="s">
        <v>983</v>
      </c>
      <c r="C104" s="153"/>
      <c r="D104" s="321">
        <v>0</v>
      </c>
      <c r="E104" s="101"/>
      <c r="I104" s="49">
        <f>D104</f>
        <v>0</v>
      </c>
    </row>
    <row r="105" spans="1:12" x14ac:dyDescent="0.2">
      <c r="B105" s="153"/>
      <c r="C105" s="153" t="s">
        <v>197</v>
      </c>
      <c r="D105" s="101"/>
      <c r="E105" s="101">
        <v>5222900</v>
      </c>
      <c r="F105" s="362"/>
    </row>
    <row r="106" spans="1:12" x14ac:dyDescent="0.2">
      <c r="D106" s="50"/>
      <c r="E106" s="50"/>
    </row>
    <row r="107" spans="1:12" x14ac:dyDescent="0.2">
      <c r="B107" s="25" t="s">
        <v>198</v>
      </c>
      <c r="D107" s="50"/>
      <c r="E107" s="50"/>
    </row>
    <row r="108" spans="1:12" x14ac:dyDescent="0.2">
      <c r="D108" s="50"/>
      <c r="E108" s="50"/>
      <c r="L108" s="49">
        <f>D104-E110</f>
        <v>0</v>
      </c>
    </row>
    <row r="109" spans="1:12" x14ac:dyDescent="0.2">
      <c r="A109" s="103">
        <v>16</v>
      </c>
      <c r="B109" s="153" t="s">
        <v>984</v>
      </c>
      <c r="C109" s="153"/>
      <c r="D109" s="321">
        <v>0</v>
      </c>
      <c r="E109" s="101"/>
    </row>
    <row r="110" spans="1:12" x14ac:dyDescent="0.2">
      <c r="B110" s="153"/>
      <c r="C110" s="153" t="s">
        <v>985</v>
      </c>
      <c r="D110" s="101"/>
      <c r="E110" s="321">
        <v>0</v>
      </c>
      <c r="F110" s="362"/>
      <c r="I110" s="49">
        <f>-E110</f>
        <v>0</v>
      </c>
    </row>
    <row r="111" spans="1:12" x14ac:dyDescent="0.2">
      <c r="B111" s="153"/>
      <c r="C111" s="153"/>
      <c r="D111" s="101"/>
      <c r="E111" s="101"/>
    </row>
    <row r="112" spans="1:12" x14ac:dyDescent="0.2">
      <c r="B112" s="153" t="s">
        <v>199</v>
      </c>
      <c r="C112" s="153"/>
      <c r="D112" s="101"/>
      <c r="E112" s="101"/>
    </row>
    <row r="113" spans="1:9" x14ac:dyDescent="0.2">
      <c r="D113" s="50"/>
      <c r="E113" s="50"/>
    </row>
    <row r="114" spans="1:9" x14ac:dyDescent="0.2">
      <c r="A114" s="190">
        <v>17</v>
      </c>
      <c r="B114" s="153" t="s">
        <v>200</v>
      </c>
      <c r="C114" s="153"/>
      <c r="D114" s="101">
        <v>4683599</v>
      </c>
      <c r="E114" s="101"/>
      <c r="H114" s="49"/>
      <c r="I114" s="49">
        <f>D114</f>
        <v>4683599</v>
      </c>
    </row>
    <row r="115" spans="1:9" x14ac:dyDescent="0.2">
      <c r="B115" s="153" t="s">
        <v>173</v>
      </c>
      <c r="C115" s="153"/>
      <c r="D115" s="101">
        <v>457072</v>
      </c>
      <c r="E115" s="101"/>
    </row>
    <row r="116" spans="1:9" x14ac:dyDescent="0.2">
      <c r="B116" s="153"/>
      <c r="C116" s="153" t="s">
        <v>201</v>
      </c>
      <c r="D116" s="101"/>
      <c r="E116" s="101">
        <v>3210885</v>
      </c>
      <c r="H116" s="49"/>
      <c r="I116" s="49">
        <f>-E116</f>
        <v>-3210885</v>
      </c>
    </row>
    <row r="117" spans="1:9" x14ac:dyDescent="0.2">
      <c r="B117" s="153"/>
      <c r="C117" s="153" t="s">
        <v>202</v>
      </c>
      <c r="D117" s="101"/>
      <c r="E117" s="101">
        <v>1929786</v>
      </c>
      <c r="H117" s="49"/>
    </row>
    <row r="118" spans="1:9" x14ac:dyDescent="0.2">
      <c r="B118" s="153"/>
      <c r="C118" s="153"/>
      <c r="D118" s="101"/>
      <c r="E118" s="101"/>
    </row>
    <row r="119" spans="1:9" x14ac:dyDescent="0.2">
      <c r="B119" s="153" t="s">
        <v>203</v>
      </c>
      <c r="C119" s="153"/>
      <c r="D119" s="101"/>
      <c r="E119" s="101"/>
    </row>
    <row r="120" spans="1:9" x14ac:dyDescent="0.2">
      <c r="D120" s="50"/>
      <c r="E120" s="50"/>
    </row>
    <row r="121" spans="1:9" x14ac:dyDescent="0.2">
      <c r="A121" s="190">
        <v>18</v>
      </c>
      <c r="B121" s="153" t="s">
        <v>204</v>
      </c>
      <c r="C121" s="153"/>
      <c r="D121" s="101">
        <v>3978857</v>
      </c>
      <c r="E121" s="101"/>
      <c r="I121" s="49">
        <f>D121</f>
        <v>3978857</v>
      </c>
    </row>
    <row r="122" spans="1:9" x14ac:dyDescent="0.2">
      <c r="B122" s="153" t="s">
        <v>173</v>
      </c>
      <c r="C122" s="153"/>
      <c r="D122" s="101">
        <v>42261</v>
      </c>
      <c r="E122" s="101"/>
    </row>
    <row r="123" spans="1:9" x14ac:dyDescent="0.2">
      <c r="B123" s="153"/>
      <c r="C123" s="153" t="s">
        <v>194</v>
      </c>
      <c r="D123" s="101"/>
      <c r="E123" s="101">
        <v>241052</v>
      </c>
      <c r="I123" s="49">
        <f>-E123</f>
        <v>-241052</v>
      </c>
    </row>
    <row r="124" spans="1:9" x14ac:dyDescent="0.2">
      <c r="B124" s="153"/>
      <c r="C124" s="153" t="s">
        <v>202</v>
      </c>
      <c r="D124" s="101"/>
      <c r="E124" s="101">
        <v>3780066</v>
      </c>
    </row>
    <row r="125" spans="1:9" x14ac:dyDescent="0.2">
      <c r="B125" s="153"/>
      <c r="C125" s="153"/>
      <c r="D125" s="101"/>
      <c r="E125" s="101"/>
    </row>
    <row r="126" spans="1:9" x14ac:dyDescent="0.2">
      <c r="B126" s="153" t="s">
        <v>205</v>
      </c>
      <c r="C126" s="153"/>
      <c r="D126" s="101"/>
      <c r="E126" s="101"/>
    </row>
    <row r="127" spans="1:9" x14ac:dyDescent="0.2">
      <c r="D127" s="50"/>
      <c r="E127" s="50"/>
    </row>
    <row r="128" spans="1:9" x14ac:dyDescent="0.2">
      <c r="A128" s="190">
        <v>19</v>
      </c>
      <c r="B128" s="153" t="s">
        <v>202</v>
      </c>
      <c r="C128" s="153"/>
      <c r="D128" s="101">
        <v>148274</v>
      </c>
      <c r="E128" s="101"/>
    </row>
    <row r="129" spans="1:5" x14ac:dyDescent="0.2">
      <c r="B129" s="153" t="s">
        <v>173</v>
      </c>
      <c r="C129" s="153"/>
      <c r="D129" s="101">
        <v>1207965</v>
      </c>
      <c r="E129" s="101"/>
    </row>
    <row r="130" spans="1:5" x14ac:dyDescent="0.2">
      <c r="B130" s="153"/>
      <c r="C130" s="153" t="s">
        <v>184</v>
      </c>
      <c r="D130" s="101"/>
      <c r="E130" s="101">
        <v>529448</v>
      </c>
    </row>
    <row r="131" spans="1:5" x14ac:dyDescent="0.2">
      <c r="B131" s="153"/>
      <c r="C131" s="153" t="s">
        <v>206</v>
      </c>
      <c r="D131" s="101"/>
      <c r="E131" s="101">
        <v>826791</v>
      </c>
    </row>
    <row r="132" spans="1:5" x14ac:dyDescent="0.2">
      <c r="B132" s="153"/>
      <c r="C132" s="153"/>
      <c r="D132" s="101"/>
      <c r="E132" s="101"/>
    </row>
    <row r="133" spans="1:5" x14ac:dyDescent="0.2">
      <c r="B133" s="153" t="s">
        <v>207</v>
      </c>
      <c r="C133" s="153"/>
      <c r="D133" s="101"/>
      <c r="E133" s="101"/>
    </row>
    <row r="134" spans="1:5" x14ac:dyDescent="0.2">
      <c r="A134" s="190"/>
      <c r="D134" s="50"/>
      <c r="E134" s="50"/>
    </row>
    <row r="135" spans="1:5" x14ac:dyDescent="0.2">
      <c r="A135" s="190">
        <v>20</v>
      </c>
      <c r="B135" s="153" t="s">
        <v>202</v>
      </c>
      <c r="C135" s="153"/>
      <c r="D135" s="101">
        <v>499333</v>
      </c>
      <c r="E135" s="101"/>
    </row>
    <row r="136" spans="1:5" x14ac:dyDescent="0.2">
      <c r="B136" s="153"/>
      <c r="C136" s="153" t="s">
        <v>173</v>
      </c>
      <c r="D136" s="101"/>
      <c r="E136" s="101">
        <v>499333</v>
      </c>
    </row>
    <row r="137" spans="1:5" x14ac:dyDescent="0.2">
      <c r="B137" s="153"/>
      <c r="C137" s="153"/>
      <c r="D137" s="101"/>
      <c r="E137" s="101"/>
    </row>
    <row r="138" spans="1:5" x14ac:dyDescent="0.2">
      <c r="B138" s="153" t="s">
        <v>208</v>
      </c>
      <c r="C138" s="153"/>
      <c r="D138" s="101"/>
      <c r="E138" s="101"/>
    </row>
    <row r="139" spans="1:5" x14ac:dyDescent="0.2">
      <c r="D139" s="50"/>
      <c r="E139" s="50"/>
    </row>
    <row r="140" spans="1:5" x14ac:dyDescent="0.2">
      <c r="A140" s="190">
        <v>21</v>
      </c>
      <c r="B140" s="153" t="s">
        <v>173</v>
      </c>
      <c r="C140" s="153"/>
      <c r="D140" s="101">
        <v>576866</v>
      </c>
      <c r="E140" s="101"/>
    </row>
    <row r="141" spans="1:5" x14ac:dyDescent="0.2">
      <c r="B141" s="153"/>
      <c r="C141" s="153" t="s">
        <v>189</v>
      </c>
      <c r="D141" s="101"/>
      <c r="E141" s="101">
        <v>576866</v>
      </c>
    </row>
    <row r="142" spans="1:5" x14ac:dyDescent="0.2">
      <c r="B142" s="153"/>
      <c r="C142" s="153"/>
      <c r="D142" s="101"/>
      <c r="E142" s="101"/>
    </row>
    <row r="143" spans="1:5" x14ac:dyDescent="0.2">
      <c r="B143" s="153" t="s">
        <v>209</v>
      </c>
      <c r="C143" s="153"/>
      <c r="D143" s="101"/>
      <c r="E143" s="101"/>
    </row>
    <row r="144" spans="1:5" x14ac:dyDescent="0.2">
      <c r="D144" s="50"/>
      <c r="E144" s="50"/>
    </row>
    <row r="145" spans="1:9" x14ac:dyDescent="0.2">
      <c r="A145" s="103">
        <v>22</v>
      </c>
      <c r="B145" s="153" t="s">
        <v>986</v>
      </c>
      <c r="C145" s="153"/>
      <c r="D145" s="321">
        <v>548760</v>
      </c>
      <c r="E145" s="101"/>
      <c r="I145" s="49">
        <f>D145</f>
        <v>548760</v>
      </c>
    </row>
    <row r="146" spans="1:9" x14ac:dyDescent="0.2">
      <c r="B146" s="153"/>
      <c r="C146" s="153" t="s">
        <v>987</v>
      </c>
      <c r="D146" s="101"/>
      <c r="E146" s="321">
        <v>548760</v>
      </c>
    </row>
    <row r="147" spans="1:9" x14ac:dyDescent="0.2">
      <c r="B147" s="153"/>
      <c r="C147" s="153"/>
      <c r="D147" s="101"/>
      <c r="E147" s="101"/>
    </row>
    <row r="148" spans="1:9" x14ac:dyDescent="0.2">
      <c r="B148" s="153" t="s">
        <v>210</v>
      </c>
      <c r="C148" s="153"/>
      <c r="D148" s="101"/>
      <c r="E148" s="101"/>
    </row>
    <row r="149" spans="1:9" x14ac:dyDescent="0.2">
      <c r="D149" s="50"/>
      <c r="E149" s="50"/>
    </row>
    <row r="150" spans="1:9" x14ac:dyDescent="0.2">
      <c r="A150" s="25">
        <v>23</v>
      </c>
      <c r="B150" s="25" t="s">
        <v>170</v>
      </c>
      <c r="D150" s="50">
        <v>100549682</v>
      </c>
      <c r="E150" s="50"/>
      <c r="I150" s="49">
        <f>D150</f>
        <v>100549682</v>
      </c>
    </row>
    <row r="151" spans="1:9" x14ac:dyDescent="0.2">
      <c r="C151" s="25" t="s">
        <v>173</v>
      </c>
      <c r="D151" s="50"/>
      <c r="E151" s="50">
        <v>100549682</v>
      </c>
    </row>
    <row r="152" spans="1:9" x14ac:dyDescent="0.2">
      <c r="D152" s="50"/>
      <c r="E152" s="50"/>
    </row>
    <row r="153" spans="1:9" x14ac:dyDescent="0.2">
      <c r="B153" s="25" t="s">
        <v>211</v>
      </c>
      <c r="D153" s="50"/>
      <c r="E153" s="50"/>
    </row>
    <row r="154" spans="1:9" x14ac:dyDescent="0.2">
      <c r="D154" s="50"/>
      <c r="E154" s="50"/>
    </row>
    <row r="155" spans="1:9" x14ac:dyDescent="0.2">
      <c r="A155" s="25">
        <v>24</v>
      </c>
      <c r="B155" s="25" t="s">
        <v>173</v>
      </c>
      <c r="D155" s="50">
        <v>32907660</v>
      </c>
      <c r="E155" s="50"/>
      <c r="F155" s="368">
        <v>3</v>
      </c>
    </row>
    <row r="156" spans="1:9" x14ac:dyDescent="0.2">
      <c r="C156" s="25" t="s">
        <v>19</v>
      </c>
      <c r="D156" s="50"/>
      <c r="E156" s="50">
        <v>32907660</v>
      </c>
      <c r="F156" s="368">
        <v>3</v>
      </c>
      <c r="I156" s="49">
        <f>-E156</f>
        <v>-32907660</v>
      </c>
    </row>
    <row r="157" spans="1:9" x14ac:dyDescent="0.2">
      <c r="D157" s="50"/>
      <c r="E157" s="50"/>
      <c r="F157" s="368"/>
    </row>
    <row r="158" spans="1:9" x14ac:dyDescent="0.2">
      <c r="B158" s="25" t="s">
        <v>212</v>
      </c>
      <c r="D158" s="50"/>
      <c r="E158" s="50"/>
      <c r="F158" s="368"/>
    </row>
    <row r="159" spans="1:9" x14ac:dyDescent="0.2">
      <c r="D159" s="50"/>
      <c r="E159" s="50"/>
    </row>
    <row r="160" spans="1:9" x14ac:dyDescent="0.2">
      <c r="A160" s="25">
        <v>25</v>
      </c>
      <c r="B160" s="25" t="s">
        <v>173</v>
      </c>
      <c r="D160" s="50">
        <v>30000000</v>
      </c>
      <c r="E160" s="50"/>
      <c r="F160" s="368">
        <v>3</v>
      </c>
    </row>
    <row r="161" spans="1:9" x14ac:dyDescent="0.2">
      <c r="C161" s="25" t="s">
        <v>213</v>
      </c>
      <c r="D161" s="50"/>
      <c r="E161" s="50">
        <v>30000000</v>
      </c>
      <c r="F161" s="368">
        <v>3</v>
      </c>
      <c r="I161" s="49">
        <f>-E161</f>
        <v>-30000000</v>
      </c>
    </row>
    <row r="162" spans="1:9" x14ac:dyDescent="0.2">
      <c r="D162" s="50"/>
      <c r="E162" s="50"/>
      <c r="F162" s="368"/>
    </row>
    <row r="163" spans="1:9" x14ac:dyDescent="0.2">
      <c r="B163" s="25" t="s">
        <v>214</v>
      </c>
      <c r="D163" s="50"/>
      <c r="E163" s="50"/>
      <c r="F163" s="368"/>
    </row>
    <row r="164" spans="1:9" x14ac:dyDescent="0.2">
      <c r="D164" s="50"/>
      <c r="E164" s="50"/>
      <c r="G164" s="49">
        <f>D150+D145+D190+D200</f>
        <v>109225020</v>
      </c>
    </row>
    <row r="165" spans="1:9" x14ac:dyDescent="0.2">
      <c r="A165" s="25">
        <v>26</v>
      </c>
      <c r="B165" s="25" t="s">
        <v>22</v>
      </c>
      <c r="D165" s="50">
        <v>9355788</v>
      </c>
      <c r="E165" s="50"/>
      <c r="F165" s="368">
        <v>3</v>
      </c>
    </row>
    <row r="166" spans="1:9" x14ac:dyDescent="0.2">
      <c r="C166" s="25" t="s">
        <v>173</v>
      </c>
      <c r="D166" s="50"/>
      <c r="E166" s="50">
        <v>9355788</v>
      </c>
      <c r="F166" s="368">
        <v>3</v>
      </c>
    </row>
    <row r="167" spans="1:9" x14ac:dyDescent="0.2">
      <c r="D167" s="50"/>
      <c r="E167" s="50"/>
      <c r="F167" s="368"/>
    </row>
    <row r="168" spans="1:9" x14ac:dyDescent="0.2">
      <c r="B168" s="25" t="s">
        <v>215</v>
      </c>
      <c r="D168" s="50"/>
      <c r="E168" s="50"/>
      <c r="F168" s="368"/>
    </row>
    <row r="169" spans="1:9" x14ac:dyDescent="0.2">
      <c r="D169" s="50"/>
      <c r="E169" s="50"/>
    </row>
    <row r="170" spans="1:9" x14ac:dyDescent="0.2">
      <c r="A170" s="25">
        <v>27</v>
      </c>
      <c r="B170" s="25" t="s">
        <v>22</v>
      </c>
      <c r="D170" s="50">
        <v>8550000</v>
      </c>
      <c r="E170" s="50"/>
      <c r="F170" s="368">
        <v>3</v>
      </c>
    </row>
    <row r="171" spans="1:9" x14ac:dyDescent="0.2">
      <c r="C171" s="25" t="s">
        <v>173</v>
      </c>
      <c r="D171" s="50"/>
      <c r="E171" s="50">
        <v>8550000</v>
      </c>
      <c r="F171" s="368">
        <v>3</v>
      </c>
    </row>
    <row r="172" spans="1:9" x14ac:dyDescent="0.2">
      <c r="D172" s="50"/>
      <c r="E172" s="50"/>
      <c r="F172" s="368"/>
    </row>
    <row r="173" spans="1:9" x14ac:dyDescent="0.2">
      <c r="B173" s="25" t="s">
        <v>215</v>
      </c>
      <c r="D173" s="50"/>
      <c r="E173" s="50"/>
      <c r="F173" s="368"/>
    </row>
    <row r="174" spans="1:9" x14ac:dyDescent="0.2">
      <c r="D174" s="50"/>
      <c r="E174" s="50"/>
    </row>
    <row r="175" spans="1:9" x14ac:dyDescent="0.2">
      <c r="A175" s="25">
        <v>28</v>
      </c>
      <c r="B175" s="25" t="s">
        <v>216</v>
      </c>
      <c r="D175" s="50">
        <v>1724364</v>
      </c>
      <c r="E175" s="50"/>
    </row>
    <row r="176" spans="1:9" x14ac:dyDescent="0.2">
      <c r="B176" s="161" t="s">
        <v>628</v>
      </c>
      <c r="C176" s="25" t="s">
        <v>626</v>
      </c>
      <c r="D176" s="50"/>
      <c r="E176" s="50">
        <v>1472714</v>
      </c>
      <c r="I176" s="49">
        <f>-E176</f>
        <v>-1472714</v>
      </c>
    </row>
    <row r="177" spans="1:10" x14ac:dyDescent="0.2">
      <c r="B177" s="161" t="s">
        <v>629</v>
      </c>
      <c r="C177" s="25" t="s">
        <v>627</v>
      </c>
      <c r="D177" s="50"/>
      <c r="E177" s="50">
        <v>251650</v>
      </c>
      <c r="I177" s="49"/>
    </row>
    <row r="178" spans="1:10" x14ac:dyDescent="0.2">
      <c r="D178" s="50"/>
      <c r="E178" s="50"/>
    </row>
    <row r="179" spans="1:10" x14ac:dyDescent="0.2">
      <c r="B179" s="25" t="s">
        <v>217</v>
      </c>
      <c r="D179" s="50"/>
      <c r="E179" s="50"/>
    </row>
    <row r="180" spans="1:10" x14ac:dyDescent="0.2">
      <c r="D180" s="50"/>
      <c r="E180" s="50"/>
    </row>
    <row r="181" spans="1:10" x14ac:dyDescent="0.2">
      <c r="A181" s="25">
        <v>29</v>
      </c>
      <c r="B181" s="25" t="s">
        <v>14</v>
      </c>
      <c r="D181" s="50"/>
      <c r="E181" s="50"/>
      <c r="F181" s="364" t="s">
        <v>1218</v>
      </c>
    </row>
    <row r="182" spans="1:10" x14ac:dyDescent="0.2">
      <c r="B182" s="25" t="s">
        <v>218</v>
      </c>
      <c r="D182" s="50">
        <v>2</v>
      </c>
      <c r="E182" s="50"/>
      <c r="F182" s="364"/>
    </row>
    <row r="183" spans="1:10" x14ac:dyDescent="0.2">
      <c r="B183" s="25" t="s">
        <v>219</v>
      </c>
      <c r="D183" s="50">
        <v>2</v>
      </c>
      <c r="E183" s="50"/>
      <c r="F183" s="364"/>
    </row>
    <row r="184" spans="1:10" x14ac:dyDescent="0.2">
      <c r="C184" s="25" t="s">
        <v>170</v>
      </c>
      <c r="D184" s="50"/>
      <c r="E184" s="50"/>
      <c r="F184" s="364"/>
    </row>
    <row r="185" spans="1:10" x14ac:dyDescent="0.2">
      <c r="C185" s="25" t="s">
        <v>218</v>
      </c>
      <c r="D185" s="50"/>
      <c r="E185" s="50">
        <v>2</v>
      </c>
      <c r="F185" s="364"/>
      <c r="J185" s="49">
        <f>-E185</f>
        <v>-2</v>
      </c>
    </row>
    <row r="186" spans="1:10" x14ac:dyDescent="0.2">
      <c r="C186" s="25" t="s">
        <v>219</v>
      </c>
      <c r="D186" s="50"/>
      <c r="E186" s="50">
        <v>2</v>
      </c>
      <c r="F186" s="364"/>
      <c r="H186" s="49">
        <f>-E186</f>
        <v>-2</v>
      </c>
    </row>
    <row r="187" spans="1:10" x14ac:dyDescent="0.2">
      <c r="D187" s="50"/>
      <c r="E187" s="50"/>
      <c r="F187" s="364"/>
    </row>
    <row r="188" spans="1:10" x14ac:dyDescent="0.2">
      <c r="B188" s="25" t="s">
        <v>220</v>
      </c>
      <c r="D188" s="50"/>
      <c r="E188" s="50"/>
      <c r="F188" s="364"/>
    </row>
    <row r="189" spans="1:10" x14ac:dyDescent="0.2">
      <c r="D189" s="50"/>
      <c r="E189" s="50"/>
    </row>
    <row r="190" spans="1:10" x14ac:dyDescent="0.2">
      <c r="A190" s="25">
        <v>30</v>
      </c>
      <c r="B190" s="25" t="s">
        <v>170</v>
      </c>
      <c r="D190" s="50">
        <v>2089679</v>
      </c>
      <c r="E190" s="50"/>
      <c r="I190" s="49">
        <f>D190</f>
        <v>2089679</v>
      </c>
    </row>
    <row r="191" spans="1:10" x14ac:dyDescent="0.2">
      <c r="C191" s="25" t="s">
        <v>173</v>
      </c>
      <c r="D191" s="50"/>
      <c r="E191" s="50">
        <v>2089679</v>
      </c>
    </row>
    <row r="192" spans="1:10" x14ac:dyDescent="0.2">
      <c r="D192" s="50"/>
      <c r="E192" s="50"/>
    </row>
    <row r="193" spans="1:10" x14ac:dyDescent="0.2">
      <c r="B193" s="25" t="s">
        <v>221</v>
      </c>
      <c r="D193" s="50"/>
      <c r="E193" s="50"/>
    </row>
    <row r="194" spans="1:10" x14ac:dyDescent="0.2">
      <c r="D194" s="50"/>
      <c r="E194" s="50"/>
    </row>
    <row r="195" spans="1:10" x14ac:dyDescent="0.2">
      <c r="A195" s="25">
        <v>31</v>
      </c>
      <c r="B195" s="25" t="s">
        <v>170</v>
      </c>
      <c r="D195" s="50">
        <v>25162</v>
      </c>
      <c r="E195" s="50"/>
      <c r="I195" s="49">
        <f>D195</f>
        <v>25162</v>
      </c>
    </row>
    <row r="196" spans="1:10" x14ac:dyDescent="0.2">
      <c r="C196" s="25" t="s">
        <v>173</v>
      </c>
      <c r="D196" s="50"/>
      <c r="E196" s="50">
        <v>25162</v>
      </c>
    </row>
    <row r="197" spans="1:10" x14ac:dyDescent="0.2">
      <c r="D197" s="50"/>
      <c r="E197" s="50"/>
    </row>
    <row r="198" spans="1:10" x14ac:dyDescent="0.2">
      <c r="B198" s="25" t="s">
        <v>222</v>
      </c>
      <c r="D198" s="50"/>
      <c r="E198" s="50"/>
    </row>
    <row r="199" spans="1:10" x14ac:dyDescent="0.2">
      <c r="D199" s="50"/>
      <c r="E199" s="50"/>
    </row>
    <row r="200" spans="1:10" x14ac:dyDescent="0.2">
      <c r="A200" s="25">
        <v>32</v>
      </c>
      <c r="B200" s="25" t="s">
        <v>170</v>
      </c>
      <c r="D200" s="50">
        <v>6036899</v>
      </c>
      <c r="E200" s="50"/>
      <c r="I200" s="49">
        <f>D200</f>
        <v>6036899</v>
      </c>
    </row>
    <row r="201" spans="1:10" x14ac:dyDescent="0.2">
      <c r="C201" s="25" t="s">
        <v>173</v>
      </c>
      <c r="D201" s="50"/>
      <c r="E201" s="50">
        <v>6036899</v>
      </c>
    </row>
    <row r="202" spans="1:10" x14ac:dyDescent="0.2">
      <c r="D202" s="50"/>
      <c r="E202" s="50"/>
    </row>
    <row r="203" spans="1:10" x14ac:dyDescent="0.2">
      <c r="B203" s="25" t="s">
        <v>221</v>
      </c>
      <c r="D203" s="50"/>
      <c r="E203" s="50"/>
    </row>
    <row r="204" spans="1:10" x14ac:dyDescent="0.2">
      <c r="D204" s="50"/>
      <c r="E204" s="50"/>
    </row>
    <row r="205" spans="1:10" x14ac:dyDescent="0.2">
      <c r="A205" s="25">
        <v>33</v>
      </c>
      <c r="B205" s="25" t="s">
        <v>14</v>
      </c>
      <c r="D205" s="50"/>
      <c r="E205" s="50"/>
      <c r="F205" s="364" t="s">
        <v>1218</v>
      </c>
    </row>
    <row r="206" spans="1:10" x14ac:dyDescent="0.2">
      <c r="B206" s="25" t="s">
        <v>223</v>
      </c>
      <c r="D206" s="50">
        <v>100000</v>
      </c>
      <c r="E206" s="50"/>
      <c r="F206" s="364"/>
    </row>
    <row r="207" spans="1:10" x14ac:dyDescent="0.2">
      <c r="C207" s="25" t="s">
        <v>170</v>
      </c>
      <c r="D207" s="50"/>
      <c r="E207" s="50"/>
      <c r="F207" s="364"/>
    </row>
    <row r="208" spans="1:10" x14ac:dyDescent="0.2">
      <c r="C208" s="25" t="s">
        <v>223</v>
      </c>
      <c r="D208" s="50"/>
      <c r="E208" s="50">
        <v>100000</v>
      </c>
      <c r="F208" s="364"/>
      <c r="J208" s="49">
        <f>-E208</f>
        <v>-100000</v>
      </c>
    </row>
    <row r="209" spans="1:9" x14ac:dyDescent="0.2">
      <c r="D209" s="50"/>
      <c r="E209" s="50"/>
      <c r="F209" s="364"/>
    </row>
    <row r="210" spans="1:9" x14ac:dyDescent="0.2">
      <c r="B210" s="25" t="s">
        <v>220</v>
      </c>
      <c r="D210" s="50"/>
      <c r="E210" s="50"/>
      <c r="F210" s="364"/>
    </row>
    <row r="211" spans="1:9" x14ac:dyDescent="0.2">
      <c r="D211" s="50"/>
      <c r="E211" s="50"/>
    </row>
    <row r="212" spans="1:9" x14ac:dyDescent="0.2">
      <c r="A212" s="25">
        <v>34</v>
      </c>
      <c r="B212" s="25" t="s">
        <v>630</v>
      </c>
      <c r="D212" s="50"/>
      <c r="E212" s="50"/>
      <c r="I212" s="49">
        <v>0</v>
      </c>
    </row>
    <row r="213" spans="1:9" x14ac:dyDescent="0.2">
      <c r="C213" s="25" t="s">
        <v>631</v>
      </c>
      <c r="D213" s="50"/>
      <c r="E213" s="50"/>
      <c r="I213" s="49">
        <v>0</v>
      </c>
    </row>
    <row r="214" spans="1:9" x14ac:dyDescent="0.2">
      <c r="D214" s="50"/>
      <c r="E214" s="50"/>
    </row>
    <row r="215" spans="1:9" x14ac:dyDescent="0.2">
      <c r="B215" s="25" t="s">
        <v>224</v>
      </c>
      <c r="D215" s="50"/>
      <c r="E215" s="50"/>
    </row>
    <row r="217" spans="1:9" x14ac:dyDescent="0.2">
      <c r="A217" s="25">
        <v>35</v>
      </c>
      <c r="B217" s="25" t="s">
        <v>14</v>
      </c>
      <c r="D217" s="50">
        <v>2500000</v>
      </c>
      <c r="E217" s="50"/>
      <c r="F217" s="365" t="s">
        <v>1218</v>
      </c>
      <c r="G217" s="50"/>
    </row>
    <row r="218" spans="1:9" x14ac:dyDescent="0.2">
      <c r="B218" s="25" t="s">
        <v>268</v>
      </c>
      <c r="D218" s="50"/>
      <c r="E218" s="50"/>
      <c r="F218" s="365"/>
      <c r="G218" s="50"/>
    </row>
    <row r="219" spans="1:9" x14ac:dyDescent="0.2">
      <c r="C219" s="25" t="s">
        <v>170</v>
      </c>
      <c r="D219" s="50"/>
      <c r="E219" s="50"/>
      <c r="F219" s="365"/>
    </row>
    <row r="220" spans="1:9" x14ac:dyDescent="0.2">
      <c r="C220" s="25" t="s">
        <v>268</v>
      </c>
      <c r="D220" s="50"/>
      <c r="E220" s="50">
        <f>2499998+2</f>
        <v>2500000</v>
      </c>
      <c r="F220" s="365"/>
      <c r="G220" s="50"/>
      <c r="H220" s="49">
        <f>-E220</f>
        <v>-2500000</v>
      </c>
    </row>
    <row r="221" spans="1:9" x14ac:dyDescent="0.2">
      <c r="D221" s="50"/>
      <c r="E221" s="50"/>
      <c r="F221" s="365"/>
      <c r="G221" s="50"/>
    </row>
    <row r="222" spans="1:9" x14ac:dyDescent="0.2">
      <c r="D222" s="50"/>
      <c r="E222" s="50"/>
      <c r="F222" s="365"/>
      <c r="G222" s="50"/>
    </row>
    <row r="223" spans="1:9" x14ac:dyDescent="0.2">
      <c r="B223" s="25" t="s">
        <v>269</v>
      </c>
      <c r="D223" s="50"/>
      <c r="E223" s="50"/>
      <c r="F223" s="365"/>
      <c r="G223" s="50"/>
    </row>
    <row r="225" spans="1:9" x14ac:dyDescent="0.2">
      <c r="A225" s="25">
        <v>36</v>
      </c>
      <c r="B225" s="25" t="s">
        <v>14</v>
      </c>
      <c r="D225" s="50"/>
      <c r="E225" s="50"/>
      <c r="F225" s="363"/>
      <c r="G225" s="50"/>
    </row>
    <row r="226" spans="1:9" x14ac:dyDescent="0.2">
      <c r="B226" s="25" t="s">
        <v>270</v>
      </c>
      <c r="D226" s="50">
        <v>100000</v>
      </c>
      <c r="E226" s="50"/>
      <c r="F226" s="365" t="s">
        <v>1218</v>
      </c>
      <c r="G226" s="50"/>
    </row>
    <row r="227" spans="1:9" x14ac:dyDescent="0.2">
      <c r="C227" s="25" t="s">
        <v>170</v>
      </c>
      <c r="D227" s="50"/>
      <c r="E227" s="50"/>
      <c r="F227" s="365"/>
      <c r="G227" s="50"/>
    </row>
    <row r="228" spans="1:9" x14ac:dyDescent="0.2">
      <c r="C228" s="25" t="s">
        <v>270</v>
      </c>
      <c r="D228" s="50"/>
      <c r="E228" s="50">
        <f>99998+2</f>
        <v>100000</v>
      </c>
      <c r="F228" s="365"/>
      <c r="G228" s="50"/>
      <c r="H228" s="49">
        <f>-E228</f>
        <v>-100000</v>
      </c>
    </row>
    <row r="229" spans="1:9" x14ac:dyDescent="0.2">
      <c r="C229" s="25" t="s">
        <v>13</v>
      </c>
      <c r="D229" s="50"/>
      <c r="E229" s="50">
        <v>0</v>
      </c>
      <c r="F229" s="365"/>
      <c r="G229" s="50"/>
    </row>
    <row r="230" spans="1:9" x14ac:dyDescent="0.2">
      <c r="D230" s="50"/>
      <c r="E230" s="50"/>
      <c r="F230" s="365"/>
      <c r="G230" s="50"/>
    </row>
    <row r="231" spans="1:9" x14ac:dyDescent="0.2">
      <c r="B231" s="25" t="s">
        <v>269</v>
      </c>
      <c r="D231" s="50"/>
      <c r="E231" s="50"/>
      <c r="F231" s="365"/>
      <c r="G231" s="50"/>
    </row>
    <row r="232" spans="1:9" x14ac:dyDescent="0.2">
      <c r="D232" s="50"/>
      <c r="E232" s="50"/>
      <c r="F232" s="363"/>
      <c r="G232" s="50"/>
    </row>
    <row r="233" spans="1:9" x14ac:dyDescent="0.2">
      <c r="A233" s="25">
        <v>37</v>
      </c>
      <c r="B233" s="25" t="s">
        <v>632</v>
      </c>
      <c r="D233" s="50"/>
      <c r="E233" s="50"/>
      <c r="F233" s="363"/>
      <c r="G233" s="50"/>
      <c r="I233" s="49">
        <v>0</v>
      </c>
    </row>
    <row r="234" spans="1:9" x14ac:dyDescent="0.2">
      <c r="C234" s="25" t="s">
        <v>633</v>
      </c>
      <c r="D234" s="50"/>
      <c r="E234" s="50"/>
      <c r="F234" s="363"/>
      <c r="G234" s="50"/>
      <c r="I234" s="49">
        <v>0</v>
      </c>
    </row>
    <row r="235" spans="1:9" x14ac:dyDescent="0.2">
      <c r="D235" s="50"/>
      <c r="E235" s="50"/>
      <c r="F235" s="363"/>
      <c r="G235" s="50"/>
    </row>
    <row r="236" spans="1:9" x14ac:dyDescent="0.2">
      <c r="B236" s="25" t="s">
        <v>271</v>
      </c>
      <c r="D236" s="50"/>
      <c r="E236" s="50"/>
      <c r="F236" s="363"/>
      <c r="G236" s="50"/>
    </row>
    <row r="238" spans="1:9" x14ac:dyDescent="0.2">
      <c r="A238" s="25">
        <v>38</v>
      </c>
      <c r="B238" s="25" t="s">
        <v>170</v>
      </c>
      <c r="D238" s="50">
        <v>5500437</v>
      </c>
      <c r="E238" s="50"/>
      <c r="F238" s="363"/>
      <c r="I238" s="49">
        <f>D238</f>
        <v>5500437</v>
      </c>
    </row>
    <row r="239" spans="1:9" x14ac:dyDescent="0.2">
      <c r="C239" s="25" t="s">
        <v>173</v>
      </c>
      <c r="D239" s="50"/>
      <c r="E239" s="50">
        <v>5500437</v>
      </c>
      <c r="F239" s="363"/>
    </row>
    <row r="240" spans="1:9" x14ac:dyDescent="0.2">
      <c r="D240" s="50"/>
      <c r="E240" s="50"/>
      <c r="F240" s="363"/>
    </row>
    <row r="241" spans="1:6" x14ac:dyDescent="0.2">
      <c r="B241" s="25" t="s">
        <v>453</v>
      </c>
      <c r="D241" s="50"/>
      <c r="E241" s="50"/>
      <c r="F241" s="363"/>
    </row>
    <row r="243" spans="1:6" x14ac:dyDescent="0.2">
      <c r="A243" s="190">
        <v>39</v>
      </c>
      <c r="B243" s="25" t="s">
        <v>14</v>
      </c>
      <c r="D243" s="50"/>
      <c r="E243" s="50"/>
    </row>
    <row r="244" spans="1:6" x14ac:dyDescent="0.2">
      <c r="B244" s="25" t="s">
        <v>445</v>
      </c>
      <c r="D244" s="50">
        <v>70</v>
      </c>
      <c r="E244" s="50"/>
    </row>
    <row r="245" spans="1:6" x14ac:dyDescent="0.2">
      <c r="B245" s="25" t="s">
        <v>446</v>
      </c>
      <c r="D245" s="50">
        <v>436809</v>
      </c>
      <c r="E245" s="50"/>
    </row>
    <row r="246" spans="1:6" x14ac:dyDescent="0.2">
      <c r="B246" s="25" t="s">
        <v>447</v>
      </c>
      <c r="D246" s="50">
        <v>30</v>
      </c>
      <c r="E246" s="50"/>
    </row>
    <row r="247" spans="1:6" x14ac:dyDescent="0.2">
      <c r="B247" s="25" t="s">
        <v>448</v>
      </c>
      <c r="D247" s="50">
        <v>187204</v>
      </c>
    </row>
    <row r="248" spans="1:6" x14ac:dyDescent="0.2">
      <c r="C248" s="25" t="s">
        <v>388</v>
      </c>
      <c r="D248" s="50"/>
      <c r="E248" s="50">
        <v>488997</v>
      </c>
    </row>
    <row r="249" spans="1:6" x14ac:dyDescent="0.2">
      <c r="C249" s="25" t="s">
        <v>449</v>
      </c>
      <c r="D249" s="50"/>
      <c r="E249" s="50">
        <v>135116</v>
      </c>
    </row>
    <row r="250" spans="1:6" x14ac:dyDescent="0.2">
      <c r="D250" s="50"/>
      <c r="E250" s="50"/>
    </row>
    <row r="251" spans="1:6" x14ac:dyDescent="0.2">
      <c r="D251" s="49">
        <f>SUM(D244:D250)</f>
        <v>624113</v>
      </c>
      <c r="E251" s="49">
        <f>SUM(E244:E250)</f>
        <v>624113</v>
      </c>
    </row>
    <row r="252" spans="1:6" x14ac:dyDescent="0.2">
      <c r="D252" s="50"/>
      <c r="E252" s="50"/>
    </row>
    <row r="253" spans="1:6" x14ac:dyDescent="0.2">
      <c r="B253" s="25" t="s">
        <v>450</v>
      </c>
      <c r="D253" s="50"/>
      <c r="E253" s="50"/>
    </row>
    <row r="255" spans="1:6" x14ac:dyDescent="0.2">
      <c r="A255" s="25">
        <v>40</v>
      </c>
      <c r="B255" s="46" t="s">
        <v>431</v>
      </c>
      <c r="C255" s="46"/>
      <c r="D255" s="50">
        <v>205278</v>
      </c>
      <c r="E255" s="50"/>
    </row>
    <row r="256" spans="1:6" x14ac:dyDescent="0.2">
      <c r="B256" s="46"/>
      <c r="C256" s="46" t="s">
        <v>451</v>
      </c>
      <c r="D256" s="50"/>
      <c r="E256" s="50">
        <v>205278</v>
      </c>
    </row>
    <row r="257" spans="1:5" x14ac:dyDescent="0.2">
      <c r="B257" s="46"/>
      <c r="C257" s="46"/>
    </row>
    <row r="258" spans="1:5" x14ac:dyDescent="0.2">
      <c r="B258" s="46" t="s">
        <v>452</v>
      </c>
      <c r="C258" s="46"/>
    </row>
    <row r="260" spans="1:5" x14ac:dyDescent="0.2">
      <c r="A260" s="25">
        <v>41</v>
      </c>
      <c r="B260" s="46" t="s">
        <v>173</v>
      </c>
      <c r="C260" s="46"/>
      <c r="D260" s="50">
        <v>436809</v>
      </c>
      <c r="E260" s="50"/>
    </row>
    <row r="261" spans="1:5" x14ac:dyDescent="0.2">
      <c r="B261" s="46"/>
      <c r="C261" s="46" t="s">
        <v>408</v>
      </c>
      <c r="D261" s="50"/>
      <c r="E261" s="50">
        <v>436809</v>
      </c>
    </row>
    <row r="262" spans="1:5" x14ac:dyDescent="0.2">
      <c r="B262" s="46"/>
      <c r="C262" s="46"/>
    </row>
    <row r="263" spans="1:5" x14ac:dyDescent="0.2">
      <c r="B263" s="46" t="s">
        <v>459</v>
      </c>
      <c r="C263" s="46"/>
    </row>
    <row r="265" spans="1:5" x14ac:dyDescent="0.2">
      <c r="A265" s="25">
        <v>42</v>
      </c>
      <c r="B265" s="25" t="s">
        <v>170</v>
      </c>
      <c r="D265" s="50">
        <v>5758557</v>
      </c>
      <c r="E265" s="50"/>
    </row>
    <row r="266" spans="1:5" x14ac:dyDescent="0.2">
      <c r="C266" s="25" t="s">
        <v>173</v>
      </c>
      <c r="D266" s="50"/>
      <c r="E266" s="50">
        <v>5758557</v>
      </c>
    </row>
    <row r="268" spans="1:5" x14ac:dyDescent="0.2">
      <c r="B268" s="25" t="s">
        <v>454</v>
      </c>
    </row>
    <row r="270" spans="1:5" x14ac:dyDescent="0.2">
      <c r="A270" s="25">
        <v>43</v>
      </c>
      <c r="B270" s="25" t="s">
        <v>455</v>
      </c>
      <c r="D270" s="50">
        <v>14434285</v>
      </c>
      <c r="E270" s="50"/>
    </row>
    <row r="271" spans="1:5" x14ac:dyDescent="0.2">
      <c r="C271" s="25" t="s">
        <v>361</v>
      </c>
      <c r="D271" s="50"/>
      <c r="E271" s="50">
        <v>14434285</v>
      </c>
    </row>
    <row r="273" spans="1:7" x14ac:dyDescent="0.2">
      <c r="B273" s="25" t="s">
        <v>519</v>
      </c>
    </row>
    <row r="275" spans="1:7" x14ac:dyDescent="0.2">
      <c r="A275" s="25">
        <v>44</v>
      </c>
      <c r="B275" s="46" t="s">
        <v>513</v>
      </c>
      <c r="C275" s="46"/>
      <c r="D275" s="50">
        <v>368569</v>
      </c>
    </row>
    <row r="276" spans="1:7" x14ac:dyDescent="0.2">
      <c r="B276" s="46"/>
      <c r="C276" s="46" t="s">
        <v>635</v>
      </c>
      <c r="E276" s="50">
        <v>368569</v>
      </c>
    </row>
    <row r="278" spans="1:7" x14ac:dyDescent="0.2">
      <c r="B278" s="46" t="s">
        <v>511</v>
      </c>
    </row>
    <row r="280" spans="1:7" x14ac:dyDescent="0.2">
      <c r="A280" s="25">
        <v>45</v>
      </c>
      <c r="B280" s="46" t="s">
        <v>487</v>
      </c>
      <c r="C280" s="46"/>
      <c r="D280" s="47">
        <v>1399930</v>
      </c>
      <c r="E280" s="47"/>
    </row>
    <row r="281" spans="1:7" x14ac:dyDescent="0.2">
      <c r="B281" s="46" t="s">
        <v>485</v>
      </c>
      <c r="C281" s="46"/>
      <c r="D281" s="47">
        <v>599970</v>
      </c>
      <c r="E281" s="47"/>
    </row>
    <row r="282" spans="1:7" x14ac:dyDescent="0.2">
      <c r="B282" s="46"/>
      <c r="C282" s="46" t="s">
        <v>488</v>
      </c>
      <c r="D282" s="47"/>
      <c r="E282" s="47">
        <v>1399930</v>
      </c>
    </row>
    <row r="283" spans="1:7" x14ac:dyDescent="0.2">
      <c r="B283" s="46"/>
      <c r="C283" s="46" t="s">
        <v>489</v>
      </c>
      <c r="D283" s="47"/>
      <c r="E283" s="47">
        <v>599970</v>
      </c>
    </row>
    <row r="284" spans="1:7" x14ac:dyDescent="0.2">
      <c r="B284" s="46"/>
      <c r="C284" s="46"/>
      <c r="D284" s="47">
        <f>SUM(D280:D283)</f>
        <v>1999900</v>
      </c>
      <c r="E284" s="47">
        <f>SUM(E280:E283)</f>
        <v>1999900</v>
      </c>
    </row>
    <row r="285" spans="1:7" x14ac:dyDescent="0.2">
      <c r="B285" s="25" t="s">
        <v>269</v>
      </c>
      <c r="C285" s="46"/>
      <c r="D285" s="47"/>
      <c r="E285" s="47"/>
      <c r="F285" s="87"/>
      <c r="G285" s="47"/>
    </row>
    <row r="287" spans="1:7" x14ac:dyDescent="0.2">
      <c r="A287" s="25">
        <v>46</v>
      </c>
      <c r="B287" s="25" t="s">
        <v>170</v>
      </c>
      <c r="D287" s="50">
        <v>7126653</v>
      </c>
      <c r="E287" s="50"/>
    </row>
    <row r="288" spans="1:7" x14ac:dyDescent="0.2">
      <c r="C288" s="25" t="s">
        <v>173</v>
      </c>
      <c r="D288" s="50"/>
      <c r="E288" s="50">
        <v>7126653</v>
      </c>
    </row>
    <row r="290" spans="1:6" x14ac:dyDescent="0.2">
      <c r="B290" s="25" t="s">
        <v>520</v>
      </c>
    </row>
    <row r="292" spans="1:6" x14ac:dyDescent="0.2">
      <c r="A292" s="25">
        <v>47</v>
      </c>
      <c r="B292" s="46" t="s">
        <v>634</v>
      </c>
      <c r="C292" s="46"/>
      <c r="D292" s="162">
        <v>601450</v>
      </c>
      <c r="E292" s="162"/>
    </row>
    <row r="293" spans="1:6" x14ac:dyDescent="0.2">
      <c r="B293" s="46"/>
      <c r="C293" s="46" t="s">
        <v>635</v>
      </c>
      <c r="D293" s="162"/>
      <c r="E293" s="162">
        <v>601450</v>
      </c>
    </row>
    <row r="295" spans="1:6" x14ac:dyDescent="0.2">
      <c r="B295" s="46" t="s">
        <v>606</v>
      </c>
    </row>
    <row r="297" spans="1:6" x14ac:dyDescent="0.2">
      <c r="A297" s="25">
        <v>48</v>
      </c>
      <c r="B297" s="25" t="s">
        <v>170</v>
      </c>
      <c r="D297" s="162">
        <v>10646963</v>
      </c>
      <c r="E297" s="162"/>
    </row>
    <row r="298" spans="1:6" x14ac:dyDescent="0.2">
      <c r="C298" s="25" t="s">
        <v>173</v>
      </c>
      <c r="D298" s="162"/>
      <c r="E298" s="162">
        <v>10646963</v>
      </c>
    </row>
    <row r="300" spans="1:6" x14ac:dyDescent="0.2">
      <c r="B300" s="25" t="s">
        <v>636</v>
      </c>
    </row>
    <row r="302" spans="1:6" x14ac:dyDescent="0.2">
      <c r="A302" s="25">
        <v>49</v>
      </c>
      <c r="B302" s="46" t="s">
        <v>580</v>
      </c>
      <c r="C302" s="46"/>
      <c r="D302" s="162">
        <v>8000000</v>
      </c>
      <c r="E302" s="162"/>
      <c r="F302" s="364" t="s">
        <v>1218</v>
      </c>
    </row>
    <row r="303" spans="1:6" x14ac:dyDescent="0.2">
      <c r="B303" s="46" t="s">
        <v>581</v>
      </c>
      <c r="C303" s="46"/>
      <c r="D303" s="162">
        <v>2000000</v>
      </c>
      <c r="E303" s="162"/>
      <c r="F303" s="364"/>
    </row>
    <row r="304" spans="1:6" x14ac:dyDescent="0.2">
      <c r="B304" s="46"/>
      <c r="C304" s="46" t="s">
        <v>582</v>
      </c>
      <c r="D304" s="162"/>
      <c r="E304" s="162">
        <v>10000000</v>
      </c>
      <c r="F304" s="364"/>
    </row>
    <row r="305" spans="1:6" x14ac:dyDescent="0.2">
      <c r="B305" s="46"/>
      <c r="C305" s="46"/>
      <c r="F305" s="364"/>
    </row>
    <row r="306" spans="1:6" x14ac:dyDescent="0.2">
      <c r="B306" s="25" t="s">
        <v>269</v>
      </c>
      <c r="C306" s="46"/>
      <c r="F306" s="364"/>
    </row>
    <row r="308" spans="1:6" x14ac:dyDescent="0.2">
      <c r="A308" s="25">
        <v>50</v>
      </c>
      <c r="B308" s="25" t="s">
        <v>637</v>
      </c>
      <c r="D308" s="162">
        <v>33680000</v>
      </c>
      <c r="E308" s="162"/>
    </row>
    <row r="309" spans="1:6" x14ac:dyDescent="0.2">
      <c r="C309" s="25" t="s">
        <v>582</v>
      </c>
      <c r="D309" s="162"/>
      <c r="E309" s="162">
        <v>33680000</v>
      </c>
    </row>
    <row r="311" spans="1:6" x14ac:dyDescent="0.2">
      <c r="B311" s="25" t="s">
        <v>638</v>
      </c>
    </row>
    <row r="313" spans="1:6" x14ac:dyDescent="0.2">
      <c r="A313" s="25">
        <v>51</v>
      </c>
      <c r="B313" s="25" t="s">
        <v>347</v>
      </c>
      <c r="D313" s="162">
        <v>1359382</v>
      </c>
      <c r="E313" s="162"/>
    </row>
    <row r="314" spans="1:6" x14ac:dyDescent="0.2">
      <c r="B314" s="25" t="s">
        <v>348</v>
      </c>
      <c r="D314" s="162">
        <v>3153738</v>
      </c>
      <c r="E314" s="162"/>
    </row>
    <row r="315" spans="1:6" x14ac:dyDescent="0.2">
      <c r="C315" s="25" t="s">
        <v>310</v>
      </c>
      <c r="D315" s="162"/>
      <c r="E315" s="162">
        <v>4513120</v>
      </c>
    </row>
    <row r="317" spans="1:6" x14ac:dyDescent="0.2">
      <c r="B317" s="25" t="s">
        <v>639</v>
      </c>
    </row>
    <row r="319" spans="1:6" x14ac:dyDescent="0.2">
      <c r="A319" s="103" t="s">
        <v>853</v>
      </c>
    </row>
    <row r="321" spans="1:5" x14ac:dyDescent="0.2">
      <c r="A321" s="25">
        <v>52</v>
      </c>
      <c r="B321" s="46" t="s">
        <v>635</v>
      </c>
      <c r="C321" s="46"/>
      <c r="D321" s="162">
        <v>2316212</v>
      </c>
      <c r="E321" s="162"/>
    </row>
    <row r="322" spans="1:5" x14ac:dyDescent="0.2">
      <c r="B322" s="46"/>
      <c r="C322" s="46" t="s">
        <v>822</v>
      </c>
      <c r="D322" s="162"/>
      <c r="E322" s="162">
        <v>2316212</v>
      </c>
    </row>
    <row r="324" spans="1:5" x14ac:dyDescent="0.2">
      <c r="B324" s="46" t="s">
        <v>854</v>
      </c>
    </row>
    <row r="326" spans="1:5" x14ac:dyDescent="0.2">
      <c r="A326" s="25">
        <v>53</v>
      </c>
      <c r="B326" s="25" t="s">
        <v>170</v>
      </c>
      <c r="D326" s="162">
        <v>493439</v>
      </c>
      <c r="E326" s="162"/>
    </row>
    <row r="327" spans="1:5" x14ac:dyDescent="0.2">
      <c r="C327" s="25" t="s">
        <v>173</v>
      </c>
      <c r="D327" s="162"/>
      <c r="E327" s="162">
        <v>493439</v>
      </c>
    </row>
    <row r="329" spans="1:5" x14ac:dyDescent="0.2">
      <c r="B329" s="25" t="s">
        <v>855</v>
      </c>
    </row>
    <row r="331" spans="1:5" x14ac:dyDescent="0.2">
      <c r="A331" s="25">
        <v>54</v>
      </c>
      <c r="B331" s="25" t="s">
        <v>856</v>
      </c>
      <c r="D331" s="162">
        <v>476451</v>
      </c>
      <c r="E331" s="162"/>
    </row>
    <row r="332" spans="1:5" x14ac:dyDescent="0.2">
      <c r="C332" s="25" t="s">
        <v>173</v>
      </c>
      <c r="D332" s="162"/>
      <c r="E332" s="162">
        <v>476451</v>
      </c>
    </row>
    <row r="334" spans="1:5" x14ac:dyDescent="0.2">
      <c r="B334" s="25" t="s">
        <v>857</v>
      </c>
    </row>
    <row r="336" spans="1:5" x14ac:dyDescent="0.2">
      <c r="A336" s="25">
        <v>55</v>
      </c>
      <c r="B336" s="46" t="s">
        <v>858</v>
      </c>
      <c r="D336" s="162">
        <v>1588168</v>
      </c>
      <c r="E336" s="162"/>
    </row>
    <row r="337" spans="1:5" x14ac:dyDescent="0.2">
      <c r="C337" s="25" t="s">
        <v>859</v>
      </c>
      <c r="D337" s="162"/>
      <c r="E337" s="162">
        <v>1588168</v>
      </c>
    </row>
    <row r="339" spans="1:5" x14ac:dyDescent="0.2">
      <c r="B339" s="25" t="s">
        <v>860</v>
      </c>
    </row>
    <row r="341" spans="1:5" x14ac:dyDescent="0.2">
      <c r="A341" s="25">
        <v>56</v>
      </c>
      <c r="B341" s="46" t="s">
        <v>988</v>
      </c>
      <c r="D341" s="189">
        <v>27958908</v>
      </c>
    </row>
    <row r="342" spans="1:5" x14ac:dyDescent="0.2">
      <c r="B342" s="46" t="s">
        <v>989</v>
      </c>
      <c r="D342" s="189">
        <v>0</v>
      </c>
    </row>
    <row r="343" spans="1:5" x14ac:dyDescent="0.2">
      <c r="B343" s="46"/>
      <c r="C343" s="322" t="s">
        <v>991</v>
      </c>
      <c r="D343" s="47"/>
      <c r="E343" s="167">
        <v>13831966</v>
      </c>
    </row>
    <row r="344" spans="1:5" x14ac:dyDescent="0.2">
      <c r="C344" s="25" t="s">
        <v>990</v>
      </c>
      <c r="E344" s="49">
        <v>14126942</v>
      </c>
    </row>
    <row r="346" spans="1:5" x14ac:dyDescent="0.2">
      <c r="B346" s="25" t="s">
        <v>869</v>
      </c>
    </row>
    <row r="348" spans="1:5" x14ac:dyDescent="0.2">
      <c r="A348" s="25">
        <v>57</v>
      </c>
      <c r="B348" s="25" t="s">
        <v>993</v>
      </c>
      <c r="D348" s="167">
        <v>0</v>
      </c>
      <c r="E348" s="50">
        <v>2462</v>
      </c>
    </row>
    <row r="349" spans="1:5" x14ac:dyDescent="0.2">
      <c r="B349" s="322" t="s">
        <v>992</v>
      </c>
      <c r="D349" s="167">
        <v>2462</v>
      </c>
      <c r="E349" s="50"/>
    </row>
    <row r="350" spans="1:5" x14ac:dyDescent="0.2">
      <c r="B350" s="25" t="s">
        <v>994</v>
      </c>
      <c r="D350" s="167">
        <v>0</v>
      </c>
      <c r="E350" s="162"/>
    </row>
    <row r="351" spans="1:5" x14ac:dyDescent="0.2">
      <c r="C351" s="25" t="s">
        <v>995</v>
      </c>
      <c r="E351" s="167">
        <v>0</v>
      </c>
    </row>
    <row r="352" spans="1:5" x14ac:dyDescent="0.2">
      <c r="C352" s="25" t="s">
        <v>996</v>
      </c>
      <c r="E352" s="167">
        <v>0</v>
      </c>
    </row>
    <row r="354" spans="1:5" x14ac:dyDescent="0.2">
      <c r="A354" s="322" t="s">
        <v>999</v>
      </c>
    </row>
    <row r="356" spans="1:5" x14ac:dyDescent="0.2">
      <c r="A356" s="25">
        <v>58</v>
      </c>
      <c r="B356" s="323" t="s">
        <v>635</v>
      </c>
      <c r="C356" s="46"/>
      <c r="D356" s="50">
        <v>1131640</v>
      </c>
      <c r="E356" s="50"/>
    </row>
    <row r="357" spans="1:5" x14ac:dyDescent="0.2">
      <c r="B357" s="46"/>
      <c r="C357" s="323" t="s">
        <v>997</v>
      </c>
      <c r="D357" s="50"/>
      <c r="E357" s="50">
        <v>1131640</v>
      </c>
    </row>
    <row r="359" spans="1:5" x14ac:dyDescent="0.2">
      <c r="B359" s="46" t="s">
        <v>927</v>
      </c>
    </row>
    <row r="362" spans="1:5" x14ac:dyDescent="0.2">
      <c r="A362" s="25">
        <v>59</v>
      </c>
      <c r="B362" s="322" t="s">
        <v>170</v>
      </c>
      <c r="D362" s="50">
        <v>106631095</v>
      </c>
    </row>
    <row r="363" spans="1:5" x14ac:dyDescent="0.2">
      <c r="C363" s="322" t="s">
        <v>173</v>
      </c>
      <c r="E363" s="50">
        <v>106631095</v>
      </c>
    </row>
    <row r="365" spans="1:5" x14ac:dyDescent="0.2">
      <c r="B365" s="25" t="s">
        <v>998</v>
      </c>
    </row>
    <row r="368" spans="1:5" x14ac:dyDescent="0.2">
      <c r="A368" s="25">
        <v>60</v>
      </c>
      <c r="B368" s="322" t="s">
        <v>1000</v>
      </c>
      <c r="D368" s="50">
        <v>662330</v>
      </c>
      <c r="E368" s="50"/>
    </row>
    <row r="369" spans="1:5" x14ac:dyDescent="0.2">
      <c r="C369" s="322" t="s">
        <v>173</v>
      </c>
      <c r="D369" s="50"/>
      <c r="E369" s="50">
        <v>662330</v>
      </c>
    </row>
    <row r="371" spans="1:5" x14ac:dyDescent="0.2">
      <c r="B371" s="25" t="s">
        <v>857</v>
      </c>
    </row>
    <row r="373" spans="1:5" x14ac:dyDescent="0.2">
      <c r="A373" s="25">
        <v>61</v>
      </c>
      <c r="B373" s="323" t="s">
        <v>1001</v>
      </c>
      <c r="D373" s="162">
        <v>2207768</v>
      </c>
      <c r="E373" s="162"/>
    </row>
    <row r="374" spans="1:5" x14ac:dyDescent="0.2">
      <c r="C374" s="322" t="s">
        <v>859</v>
      </c>
      <c r="D374" s="162"/>
      <c r="E374" s="162">
        <v>2207768</v>
      </c>
    </row>
    <row r="376" spans="1:5" x14ac:dyDescent="0.2">
      <c r="B376" s="25" t="s">
        <v>1002</v>
      </c>
    </row>
  </sheetData>
  <phoneticPr fontId="24" type="noConversion"/>
  <pageMargins left="0.7" right="0.7" top="0.42" bottom="0.68"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5"/>
  <sheetViews>
    <sheetView workbookViewId="0">
      <selection sqref="A1:AP1"/>
    </sheetView>
  </sheetViews>
  <sheetFormatPr defaultRowHeight="12.75" x14ac:dyDescent="0.2"/>
  <cols>
    <col min="1" max="1" width="2.42578125" customWidth="1"/>
    <col min="2" max="2" width="14.42578125" bestFit="1" customWidth="1"/>
    <col min="3" max="3" width="10.140625" bestFit="1" customWidth="1"/>
    <col min="4" max="4" width="2.140625" customWidth="1"/>
    <col min="5" max="5" width="10.140625" bestFit="1" customWidth="1"/>
    <col min="6" max="6" width="2" customWidth="1"/>
    <col min="7" max="7" width="10.140625" customWidth="1"/>
    <col min="8" max="8" width="2" customWidth="1"/>
    <col min="9" max="9" width="10.140625" bestFit="1" customWidth="1"/>
    <col min="10" max="10" width="2.7109375" customWidth="1"/>
    <col min="11" max="11" width="32.42578125" bestFit="1" customWidth="1"/>
    <col min="12" max="12" width="11.5703125" bestFit="1" customWidth="1"/>
    <col min="13" max="13" width="2.28515625" customWidth="1"/>
    <col min="14" max="14" width="11.5703125" bestFit="1" customWidth="1"/>
    <col min="15" max="15" width="1" customWidth="1"/>
    <col min="16" max="16" width="11.5703125" bestFit="1" customWidth="1"/>
    <col min="17" max="17" width="1.28515625" customWidth="1"/>
    <col min="18" max="18" width="11.5703125" bestFit="1" customWidth="1"/>
  </cols>
  <sheetData>
    <row r="2" spans="2:18" x14ac:dyDescent="0.2">
      <c r="I2" s="7" t="s">
        <v>1137</v>
      </c>
    </row>
    <row r="3" spans="2:18" x14ac:dyDescent="0.2">
      <c r="I3" s="7" t="s">
        <v>1138</v>
      </c>
    </row>
    <row r="4" spans="2:18" x14ac:dyDescent="0.2">
      <c r="I4" s="7" t="s">
        <v>1139</v>
      </c>
    </row>
    <row r="5" spans="2:18" x14ac:dyDescent="0.2">
      <c r="I5" s="7" t="s">
        <v>1169</v>
      </c>
    </row>
    <row r="6" spans="2:18" x14ac:dyDescent="0.2">
      <c r="I6" s="7" t="s">
        <v>1170</v>
      </c>
    </row>
    <row r="8" spans="2:18" x14ac:dyDescent="0.2">
      <c r="K8" s="7" t="s">
        <v>1116</v>
      </c>
    </row>
    <row r="9" spans="2:18" x14ac:dyDescent="0.2">
      <c r="C9" s="7" t="s">
        <v>303</v>
      </c>
      <c r="E9" s="7" t="s">
        <v>303</v>
      </c>
      <c r="G9" s="7" t="s">
        <v>303</v>
      </c>
      <c r="I9" s="7" t="s">
        <v>1333</v>
      </c>
    </row>
    <row r="10" spans="2:18" ht="15" x14ac:dyDescent="0.25">
      <c r="C10" s="7" t="s">
        <v>730</v>
      </c>
      <c r="E10" s="7" t="s">
        <v>921</v>
      </c>
      <c r="G10" s="7" t="s">
        <v>1076</v>
      </c>
      <c r="I10" s="7" t="s">
        <v>1310</v>
      </c>
      <c r="K10" s="344"/>
      <c r="L10" s="626" t="s">
        <v>1117</v>
      </c>
      <c r="M10" s="626"/>
      <c r="N10" s="626"/>
      <c r="O10" s="346"/>
      <c r="P10" s="627" t="s">
        <v>1105</v>
      </c>
      <c r="Q10" s="627"/>
      <c r="R10" s="627"/>
    </row>
    <row r="11" spans="2:18" ht="15" x14ac:dyDescent="0.25">
      <c r="B11" s="7" t="s">
        <v>708</v>
      </c>
      <c r="C11" s="154">
        <v>248203</v>
      </c>
      <c r="D11" s="154"/>
      <c r="E11" s="154">
        <v>222154</v>
      </c>
      <c r="F11" s="154"/>
      <c r="G11" s="154">
        <f>226940</f>
        <v>226940</v>
      </c>
      <c r="H11" s="154"/>
      <c r="I11" s="154">
        <v>217539</v>
      </c>
      <c r="J11" s="154"/>
      <c r="K11" s="344"/>
      <c r="L11" s="345" t="s">
        <v>1103</v>
      </c>
      <c r="M11" s="346"/>
      <c r="N11" s="345" t="s">
        <v>921</v>
      </c>
      <c r="O11" s="346"/>
      <c r="P11" s="347" t="s">
        <v>1103</v>
      </c>
      <c r="Q11" s="348"/>
      <c r="R11" s="347" t="s">
        <v>921</v>
      </c>
    </row>
    <row r="12" spans="2:18" ht="15" x14ac:dyDescent="0.25">
      <c r="B12" s="7" t="s">
        <v>44</v>
      </c>
      <c r="C12" s="154">
        <v>-105013</v>
      </c>
      <c r="D12" s="154"/>
      <c r="E12" s="154">
        <v>-85364</v>
      </c>
      <c r="F12" s="154"/>
      <c r="G12" s="154">
        <f>-147165</f>
        <v>-147165</v>
      </c>
      <c r="H12" s="154"/>
      <c r="I12" s="154">
        <f>-72604</f>
        <v>-72604</v>
      </c>
      <c r="J12" s="154"/>
      <c r="K12" s="344"/>
      <c r="L12" s="345"/>
      <c r="M12" s="346"/>
      <c r="N12" s="345"/>
      <c r="O12" s="346"/>
      <c r="P12" s="347"/>
      <c r="Q12" s="348"/>
      <c r="R12" s="347"/>
    </row>
    <row r="13" spans="2:18" ht="15" x14ac:dyDescent="0.25">
      <c r="C13" s="193"/>
      <c r="D13" s="154"/>
      <c r="E13" s="193"/>
      <c r="F13" s="154"/>
      <c r="G13" s="193"/>
      <c r="H13" s="154"/>
      <c r="I13" s="193"/>
      <c r="J13" s="154"/>
      <c r="K13" s="344" t="s">
        <v>1118</v>
      </c>
      <c r="L13" s="345">
        <f>-7550-96+23</f>
        <v>-7623</v>
      </c>
      <c r="M13" s="345"/>
      <c r="N13" s="345">
        <v>-4733</v>
      </c>
      <c r="O13" s="345"/>
      <c r="P13" s="347">
        <f>-10748-96+23</f>
        <v>-10821</v>
      </c>
      <c r="Q13" s="347"/>
      <c r="R13" s="347">
        <v>-6869</v>
      </c>
    </row>
    <row r="14" spans="2:18" ht="15" x14ac:dyDescent="0.25">
      <c r="B14" s="7" t="s">
        <v>709</v>
      </c>
      <c r="C14" s="154">
        <f>SUM(C11:C13)</f>
        <v>143190</v>
      </c>
      <c r="D14" s="154"/>
      <c r="E14" s="154">
        <f>SUM(E11:E13)</f>
        <v>136790</v>
      </c>
      <c r="F14" s="154"/>
      <c r="G14" s="154">
        <f>SUM(G11:G13)</f>
        <v>79775</v>
      </c>
      <c r="H14" s="154"/>
      <c r="I14" s="154">
        <f>SUM(I11:I13)</f>
        <v>144935</v>
      </c>
      <c r="J14" s="154"/>
      <c r="K14" s="344" t="s">
        <v>1119</v>
      </c>
      <c r="L14" s="345"/>
      <c r="M14" s="345"/>
      <c r="N14" s="345"/>
      <c r="O14" s="345"/>
      <c r="P14" s="347"/>
      <c r="Q14" s="347"/>
      <c r="R14" s="347"/>
    </row>
    <row r="15" spans="2:18" ht="15" x14ac:dyDescent="0.25">
      <c r="C15" s="154"/>
      <c r="D15" s="154"/>
      <c r="E15" s="154"/>
      <c r="F15" s="154"/>
      <c r="G15" s="154"/>
      <c r="H15" s="154"/>
      <c r="I15" s="154"/>
      <c r="J15" s="154"/>
      <c r="K15" s="344" t="s">
        <v>1120</v>
      </c>
      <c r="L15" s="345">
        <v>187262</v>
      </c>
      <c r="M15" s="345"/>
      <c r="N15" s="345">
        <v>187262</v>
      </c>
      <c r="O15" s="345"/>
      <c r="P15" s="347">
        <v>187262</v>
      </c>
      <c r="Q15" s="347"/>
      <c r="R15" s="347">
        <v>187262</v>
      </c>
    </row>
    <row r="16" spans="2:18" ht="15" x14ac:dyDescent="0.25">
      <c r="B16" s="7" t="s">
        <v>73</v>
      </c>
      <c r="C16" s="154">
        <v>195935</v>
      </c>
      <c r="D16" s="154"/>
      <c r="E16" s="154"/>
      <c r="F16" s="154"/>
      <c r="G16" s="154"/>
      <c r="H16" s="154"/>
      <c r="I16" s="154"/>
      <c r="J16" s="154"/>
      <c r="K16" s="344"/>
      <c r="L16" s="346"/>
      <c r="M16" s="346"/>
      <c r="N16" s="346"/>
      <c r="O16" s="346"/>
      <c r="P16" s="348"/>
      <c r="Q16" s="348"/>
      <c r="R16" s="348"/>
    </row>
    <row r="17" spans="2:18" ht="15.75" thickBot="1" x14ac:dyDescent="0.3">
      <c r="B17" s="7" t="s">
        <v>71</v>
      </c>
      <c r="C17" s="154">
        <v>-8673</v>
      </c>
      <c r="D17" s="154"/>
      <c r="E17" s="154"/>
      <c r="F17" s="154"/>
      <c r="G17" s="154"/>
      <c r="H17" s="154"/>
      <c r="I17" s="154"/>
      <c r="J17" s="154"/>
      <c r="K17" s="344" t="s">
        <v>1121</v>
      </c>
      <c r="L17" s="349">
        <v>-4.07</v>
      </c>
      <c r="M17" s="346"/>
      <c r="N17" s="349">
        <v>-2.5299999999999998</v>
      </c>
      <c r="O17" s="346"/>
      <c r="P17" s="349">
        <v>-5.78</v>
      </c>
      <c r="Q17" s="348"/>
      <c r="R17" s="349">
        <v>-3.67</v>
      </c>
    </row>
    <row r="18" spans="2:18" ht="13.5" thickTop="1" x14ac:dyDescent="0.2">
      <c r="C18" s="154"/>
      <c r="D18" s="154"/>
      <c r="E18" s="154"/>
      <c r="F18" s="154"/>
      <c r="G18" s="154"/>
      <c r="H18" s="154"/>
      <c r="I18" s="154"/>
      <c r="J18" s="154"/>
    </row>
    <row r="19" spans="2:18" x14ac:dyDescent="0.2">
      <c r="C19" s="155">
        <f>SUM(C16:C18)</f>
        <v>187262</v>
      </c>
      <c r="D19" s="154"/>
      <c r="E19" s="154"/>
      <c r="F19" s="154"/>
      <c r="G19" s="154"/>
      <c r="H19" s="154"/>
      <c r="I19" s="154"/>
      <c r="J19" s="154"/>
      <c r="L19" s="168">
        <f>L13/L15*100</f>
        <v>-4.0707671604489963</v>
      </c>
      <c r="M19" s="168"/>
      <c r="N19" s="168">
        <f>N13/N15*100</f>
        <v>-2.5274748747743803</v>
      </c>
      <c r="O19" s="168"/>
      <c r="P19" s="168">
        <f>P13/P15*100</f>
        <v>-5.778534886949835</v>
      </c>
      <c r="Q19" s="168"/>
      <c r="R19" s="168">
        <f>R13/R15*100</f>
        <v>-3.668122737127661</v>
      </c>
    </row>
    <row r="20" spans="2:18" x14ac:dyDescent="0.2">
      <c r="C20" s="154"/>
      <c r="D20" s="154"/>
      <c r="E20" s="154"/>
      <c r="F20" s="154"/>
      <c r="G20" s="154"/>
      <c r="H20" s="154"/>
      <c r="I20" s="154"/>
      <c r="J20" s="154"/>
    </row>
    <row r="21" spans="2:18" x14ac:dyDescent="0.2">
      <c r="C21" s="154"/>
      <c r="D21" s="154"/>
      <c r="E21" s="154"/>
      <c r="F21" s="154"/>
      <c r="G21" s="154"/>
      <c r="H21" s="154"/>
      <c r="I21" s="154"/>
      <c r="J21" s="154"/>
    </row>
    <row r="22" spans="2:18" x14ac:dyDescent="0.2">
      <c r="B22" s="7" t="s">
        <v>710</v>
      </c>
      <c r="C22" s="194">
        <f>C14/C19</f>
        <v>0.76465059649047862</v>
      </c>
      <c r="D22" s="168"/>
      <c r="E22" s="168">
        <f>E14/C19</f>
        <v>0.73047388151360126</v>
      </c>
      <c r="F22" s="154"/>
      <c r="G22" s="168">
        <f>G14/C19</f>
        <v>0.4260074120750606</v>
      </c>
      <c r="H22" s="154"/>
      <c r="I22" s="168">
        <f>I14/C19</f>
        <v>0.77396909143339276</v>
      </c>
      <c r="J22" s="154"/>
    </row>
    <row r="23" spans="2:18" x14ac:dyDescent="0.2">
      <c r="C23" s="154"/>
      <c r="D23" s="154"/>
      <c r="E23" s="154"/>
      <c r="F23" s="154"/>
      <c r="G23" s="154"/>
      <c r="H23" s="154"/>
      <c r="I23" s="154"/>
      <c r="J23" s="154"/>
    </row>
    <row r="24" spans="2:18" x14ac:dyDescent="0.2">
      <c r="C24" s="154"/>
      <c r="D24" s="154"/>
      <c r="E24" s="154"/>
      <c r="F24" s="154"/>
      <c r="G24" s="154"/>
      <c r="H24" s="154"/>
      <c r="I24" s="154"/>
      <c r="J24" s="154"/>
    </row>
    <row r="25" spans="2:18" x14ac:dyDescent="0.2">
      <c r="C25" s="154"/>
      <c r="D25" s="154"/>
      <c r="E25" s="154"/>
      <c r="F25" s="154"/>
      <c r="G25" s="154"/>
      <c r="H25" s="154"/>
      <c r="I25" s="154"/>
      <c r="J25" s="154"/>
    </row>
  </sheetData>
  <mergeCells count="2">
    <mergeCell ref="L10:N10"/>
    <mergeCell ref="P10:R10"/>
  </mergeCells>
  <pageMargins left="0.33" right="0.19"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vt:i4>
      </vt:variant>
    </vt:vector>
  </HeadingPairs>
  <TitlesOfParts>
    <vt:vector size="29" baseType="lpstr">
      <vt:lpstr>IS</vt:lpstr>
      <vt:lpstr>C-IS</vt:lpstr>
      <vt:lpstr>BOD IS</vt:lpstr>
      <vt:lpstr>BS</vt:lpstr>
      <vt:lpstr>C-BS</vt:lpstr>
      <vt:lpstr>Consol 2017 Adj</vt:lpstr>
      <vt:lpstr>Conso C adjs</vt:lpstr>
      <vt:lpstr>Conso P adjs</vt:lpstr>
      <vt:lpstr>NTA per share</vt:lpstr>
      <vt:lpstr>CCS</vt:lpstr>
      <vt:lpstr>CFS</vt:lpstr>
      <vt:lpstr>CF ws</vt:lpstr>
      <vt:lpstr>CF adjs</vt:lpstr>
      <vt:lpstr>Impairments 2016</vt:lpstr>
      <vt:lpstr>Sheet1</vt:lpstr>
      <vt:lpstr>Group IS 2014 with audit adjust</vt:lpstr>
      <vt:lpstr>Group IS 2013 with audit adjust</vt:lpstr>
      <vt:lpstr>2014 Hardie CZ CI adj</vt:lpstr>
      <vt:lpstr>Revised Sep &amp; Dec 2013</vt:lpstr>
      <vt:lpstr>BoD BS</vt:lpstr>
      <vt:lpstr>FN SS revalue</vt:lpstr>
      <vt:lpstr>Disposal2</vt:lpstr>
      <vt:lpstr>Disposal5</vt:lpstr>
      <vt:lpstr>Compatibility Report</vt:lpstr>
      <vt:lpstr>'2014 Hardie CZ CI adj'!Print_Area</vt:lpstr>
      <vt:lpstr>'BOD IS'!Print_Area</vt:lpstr>
      <vt:lpstr>'C-BS'!Print_Area</vt:lpstr>
      <vt:lpstr>'CF ws'!Print_Area</vt:lpstr>
      <vt:lpstr>'C-IS'!Print_Area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user</cp:lastModifiedBy>
  <cp:lastPrinted>2017-05-29T10:35:39Z</cp:lastPrinted>
  <dcterms:created xsi:type="dcterms:W3CDTF">2002-10-16T03:53:43Z</dcterms:created>
  <dcterms:modified xsi:type="dcterms:W3CDTF">2017-05-30T01:39:46Z</dcterms:modified>
</cp:coreProperties>
</file>